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codeName="ThisWorkbook" defaultThemeVersion="166925"/>
  <mc:AlternateContent xmlns:mc="http://schemas.openxmlformats.org/markup-compatibility/2006">
    <mc:Choice Requires="x15">
      <x15ac:absPath xmlns:x15ac="http://schemas.microsoft.com/office/spreadsheetml/2010/11/ac" url="/Users/johanna/Library/CloudStorage/Dropbox/CARF/4-Modelos/10-Modelo Deuda/5-Taller/1-PUBLICAR/"/>
    </mc:Choice>
  </mc:AlternateContent>
  <xr:revisionPtr revIDLastSave="0" documentId="13_ncr:1_{1C7C20EF-FFB4-4041-88E8-D3BE759380C0}" xr6:coauthVersionLast="47" xr6:coauthVersionMax="47" xr10:uidLastSave="{00000000-0000-0000-0000-000000000000}"/>
  <bookViews>
    <workbookView xWindow="0" yWindow="500" windowWidth="25600" windowHeight="14380" tabRatio="835" xr2:uid="{2FEA2EAF-7BF7-8F4B-AE44-EECEE2154489}"/>
  </bookViews>
  <sheets>
    <sheet name="PORTADA" sheetId="20" r:id="rId1"/>
    <sheet name="Introducción" sheetId="28" r:id="rId2"/>
    <sheet name="Perfil de vencimientos" sheetId="10" r:id="rId3"/>
    <sheet name="TES UVR vigentes" sheetId="11" r:id="rId4"/>
    <sheet name="F&amp;U" sheetId="6" r:id="rId5"/>
    <sheet name="Supuestos" sheetId="13" r:id="rId6"/>
    <sheet name="Deuda a emitir" sheetId="2" r:id="rId7"/>
    <sheet name="Emisiones COP" sheetId="14" r:id="rId8"/>
    <sheet name="Emisiones UVR" sheetId="15" r:id="rId9"/>
    <sheet name="Emisiones USD Bonos" sheetId="16" r:id="rId10"/>
    <sheet name="Emisiones USD Multil" sheetId="25" r:id="rId11"/>
    <sheet name="Calculo deuda" sheetId="3" r:id="rId12"/>
    <sheet name="SALIDA" sheetId="1" r:id="rId13"/>
    <sheet name="Gráficos" sheetId="22" r:id="rId14"/>
    <sheet name="Dinámica de la deuda" sheetId="26" r:id="rId15"/>
    <sheet name="Cumplimiento de la regla" sheetId="27"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6" i="2" l="1"/>
  <c r="C36" i="2"/>
  <c r="M36" i="2"/>
  <c r="L36" i="2"/>
  <c r="K36" i="2"/>
  <c r="J36" i="2"/>
  <c r="I36" i="2"/>
  <c r="H36" i="2"/>
  <c r="G36" i="2"/>
  <c r="F36" i="2"/>
  <c r="E36" i="2"/>
  <c r="M32" i="2"/>
  <c r="L32" i="2"/>
  <c r="L31" i="2" s="1"/>
  <c r="K32" i="2"/>
  <c r="J32" i="2"/>
  <c r="I32" i="2"/>
  <c r="H32" i="2"/>
  <c r="H31" i="2" s="1"/>
  <c r="G32" i="2"/>
  <c r="F32" i="2"/>
  <c r="E32" i="2"/>
  <c r="D36" i="2"/>
  <c r="D35" i="2" s="1"/>
  <c r="D32" i="2"/>
  <c r="D31" i="2" s="1"/>
  <c r="C32" i="2"/>
  <c r="B32" i="2"/>
  <c r="B37" i="2"/>
  <c r="M35" i="2"/>
  <c r="J35" i="2"/>
  <c r="F35" i="2"/>
  <c r="K31" i="2"/>
  <c r="J31" i="2"/>
  <c r="G31" i="2"/>
  <c r="F31" i="2"/>
  <c r="L35" i="2"/>
  <c r="K35" i="2"/>
  <c r="I35" i="2"/>
  <c r="H35" i="2"/>
  <c r="G35" i="2"/>
  <c r="E35" i="2"/>
  <c r="M31" i="2"/>
  <c r="I31" i="2"/>
  <c r="E31" i="2"/>
  <c r="B16" i="22"/>
  <c r="C16" i="22"/>
  <c r="D16" i="22"/>
  <c r="E16" i="22"/>
  <c r="F16" i="22"/>
  <c r="G16" i="22"/>
  <c r="H16" i="22"/>
  <c r="B17" i="22"/>
  <c r="C17" i="22"/>
  <c r="D17" i="22"/>
  <c r="E17" i="22"/>
  <c r="F17" i="22"/>
  <c r="F19" i="22" s="1"/>
  <c r="G17" i="22"/>
  <c r="H17" i="22"/>
  <c r="B18" i="22"/>
  <c r="C18" i="22"/>
  <c r="D18" i="22"/>
  <c r="E18" i="22"/>
  <c r="F18" i="22"/>
  <c r="G18" i="22"/>
  <c r="H18" i="22"/>
  <c r="I16" i="22"/>
  <c r="J16" i="22"/>
  <c r="K16" i="22"/>
  <c r="L16" i="22"/>
  <c r="M16" i="22"/>
  <c r="N16" i="22"/>
  <c r="O16" i="22"/>
  <c r="P16" i="22"/>
  <c r="Q16" i="22"/>
  <c r="R16" i="22"/>
  <c r="S16" i="22"/>
  <c r="T16" i="22"/>
  <c r="U16" i="22"/>
  <c r="V16" i="22"/>
  <c r="W16" i="22"/>
  <c r="X16" i="22"/>
  <c r="Y16" i="22"/>
  <c r="I17" i="22"/>
  <c r="J17" i="22"/>
  <c r="K17" i="22"/>
  <c r="L17" i="22"/>
  <c r="M17" i="22"/>
  <c r="N17" i="22"/>
  <c r="O17" i="22"/>
  <c r="P17" i="22"/>
  <c r="Q17" i="22"/>
  <c r="R17" i="22"/>
  <c r="S17" i="22"/>
  <c r="T17" i="22"/>
  <c r="U17" i="22"/>
  <c r="V17" i="22"/>
  <c r="W17" i="22"/>
  <c r="X17" i="22"/>
  <c r="Y17" i="22"/>
  <c r="I18" i="22"/>
  <c r="J18" i="22"/>
  <c r="K18" i="22"/>
  <c r="L18" i="22"/>
  <c r="M18" i="22"/>
  <c r="N18" i="22"/>
  <c r="O18" i="22"/>
  <c r="P18" i="22"/>
  <c r="Q18" i="22"/>
  <c r="R18" i="22"/>
  <c r="S18" i="22"/>
  <c r="T18" i="22"/>
  <c r="U18" i="22"/>
  <c r="V18" i="22"/>
  <c r="W18" i="22"/>
  <c r="X18" i="22"/>
  <c r="Y18" i="22"/>
  <c r="Y90" i="1"/>
  <c r="X90" i="1"/>
  <c r="W90" i="1"/>
  <c r="V90" i="1"/>
  <c r="U90" i="1"/>
  <c r="T90" i="1"/>
  <c r="S90" i="1"/>
  <c r="R90" i="1"/>
  <c r="Q90" i="1"/>
  <c r="P90" i="1"/>
  <c r="O90" i="1"/>
  <c r="N90" i="1"/>
  <c r="M90" i="1"/>
  <c r="L90" i="1"/>
  <c r="K90" i="1"/>
  <c r="J90" i="1"/>
  <c r="I90" i="1"/>
  <c r="H90" i="1"/>
  <c r="G90" i="1"/>
  <c r="F90" i="1"/>
  <c r="E90" i="1"/>
  <c r="D90" i="1"/>
  <c r="C90" i="1"/>
  <c r="B90" i="1"/>
  <c r="Y89" i="1"/>
  <c r="X89" i="1"/>
  <c r="W89" i="1"/>
  <c r="V89" i="1"/>
  <c r="U89" i="1"/>
  <c r="T89" i="1"/>
  <c r="S89" i="1"/>
  <c r="R89" i="1"/>
  <c r="Q89" i="1"/>
  <c r="P89" i="1"/>
  <c r="O89" i="1"/>
  <c r="N89" i="1"/>
  <c r="M89" i="1"/>
  <c r="L89" i="1"/>
  <c r="K89" i="1"/>
  <c r="J89" i="1"/>
  <c r="I89" i="1"/>
  <c r="H89" i="1"/>
  <c r="G89" i="1"/>
  <c r="F89" i="1"/>
  <c r="E89" i="1"/>
  <c r="D89" i="1"/>
  <c r="C89" i="1"/>
  <c r="B89" i="1"/>
  <c r="Y88" i="1"/>
  <c r="X88" i="1"/>
  <c r="W88" i="1"/>
  <c r="V88" i="1"/>
  <c r="U88" i="1"/>
  <c r="T88" i="1"/>
  <c r="S88" i="1"/>
  <c r="R88" i="1"/>
  <c r="Q88" i="1"/>
  <c r="P88" i="1"/>
  <c r="O88" i="1"/>
  <c r="N88" i="1"/>
  <c r="M88" i="1"/>
  <c r="L88" i="1"/>
  <c r="K88" i="1"/>
  <c r="J88" i="1"/>
  <c r="I88" i="1"/>
  <c r="H88" i="1"/>
  <c r="G88" i="1"/>
  <c r="F88" i="1"/>
  <c r="E88" i="1"/>
  <c r="D88" i="1"/>
  <c r="C88" i="1"/>
  <c r="B88" i="1"/>
  <c r="Y86" i="1"/>
  <c r="X86" i="1"/>
  <c r="W86" i="1"/>
  <c r="V86" i="1"/>
  <c r="U86" i="1"/>
  <c r="T86" i="1"/>
  <c r="S86" i="1"/>
  <c r="R86" i="1"/>
  <c r="Q86" i="1"/>
  <c r="P86" i="1"/>
  <c r="O86" i="1"/>
  <c r="N86" i="1"/>
  <c r="M86" i="1"/>
  <c r="L86" i="1"/>
  <c r="K86" i="1"/>
  <c r="J86" i="1"/>
  <c r="I86" i="1"/>
  <c r="H86" i="1"/>
  <c r="G86" i="1"/>
  <c r="F86" i="1"/>
  <c r="E86" i="1"/>
  <c r="D86" i="1"/>
  <c r="C86" i="1"/>
  <c r="B86" i="1"/>
  <c r="Y85" i="1"/>
  <c r="Y87" i="1" s="1"/>
  <c r="X85" i="1"/>
  <c r="X87" i="1" s="1"/>
  <c r="W85" i="1"/>
  <c r="W87" i="1" s="1"/>
  <c r="V85" i="1"/>
  <c r="V87" i="1" s="1"/>
  <c r="U85" i="1"/>
  <c r="U87" i="1" s="1"/>
  <c r="T85" i="1"/>
  <c r="T87" i="1" s="1"/>
  <c r="S85" i="1"/>
  <c r="S87" i="1" s="1"/>
  <c r="R85" i="1"/>
  <c r="R87" i="1" s="1"/>
  <c r="Q85" i="1"/>
  <c r="Q87" i="1" s="1"/>
  <c r="P85" i="1"/>
  <c r="P87" i="1" s="1"/>
  <c r="O85" i="1"/>
  <c r="O87" i="1" s="1"/>
  <c r="N85" i="1"/>
  <c r="N87" i="1" s="1"/>
  <c r="M85" i="1"/>
  <c r="M87" i="1" s="1"/>
  <c r="L85" i="1"/>
  <c r="L87" i="1" s="1"/>
  <c r="K85" i="1"/>
  <c r="K87" i="1" s="1"/>
  <c r="J85" i="1"/>
  <c r="J87" i="1" s="1"/>
  <c r="I85" i="1"/>
  <c r="I87" i="1" s="1"/>
  <c r="H85" i="1"/>
  <c r="H87" i="1" s="1"/>
  <c r="G85" i="1"/>
  <c r="G87" i="1" s="1"/>
  <c r="F85" i="1"/>
  <c r="F87" i="1" s="1"/>
  <c r="E85" i="1"/>
  <c r="E87" i="1" s="1"/>
  <c r="D85" i="1"/>
  <c r="D87" i="1" s="1"/>
  <c r="C85" i="1"/>
  <c r="C87" i="1" s="1"/>
  <c r="B85" i="1"/>
  <c r="B87" i="1" s="1"/>
  <c r="Y84" i="1"/>
  <c r="X84" i="1"/>
  <c r="W84" i="1"/>
  <c r="V84" i="1"/>
  <c r="U84" i="1"/>
  <c r="T84" i="1"/>
  <c r="S84" i="1"/>
  <c r="R84" i="1"/>
  <c r="Q84" i="1"/>
  <c r="P84" i="1"/>
  <c r="O84" i="1"/>
  <c r="N84" i="1"/>
  <c r="M84" i="1"/>
  <c r="L84" i="1"/>
  <c r="K84" i="1"/>
  <c r="J84" i="1"/>
  <c r="I84" i="1"/>
  <c r="H84" i="1"/>
  <c r="G84" i="1"/>
  <c r="F84" i="1"/>
  <c r="E84" i="1"/>
  <c r="D84" i="1"/>
  <c r="C84" i="1"/>
  <c r="B84" i="1"/>
  <c r="Y83" i="1"/>
  <c r="X83" i="1"/>
  <c r="W83" i="1"/>
  <c r="V83" i="1"/>
  <c r="U83" i="1"/>
  <c r="T83" i="1"/>
  <c r="S83" i="1"/>
  <c r="R83" i="1"/>
  <c r="Q83" i="1"/>
  <c r="P83" i="1"/>
  <c r="O83" i="1"/>
  <c r="N83" i="1"/>
  <c r="M83" i="1"/>
  <c r="L83" i="1"/>
  <c r="K83" i="1"/>
  <c r="J83" i="1"/>
  <c r="I83" i="1"/>
  <c r="H83" i="1"/>
  <c r="G83" i="1"/>
  <c r="F83" i="1"/>
  <c r="E83" i="1"/>
  <c r="D83" i="1"/>
  <c r="C83" i="1"/>
  <c r="B83" i="1"/>
  <c r="B35" i="2" l="1"/>
  <c r="B19" i="22"/>
  <c r="Q19" i="22"/>
  <c r="N19" i="22"/>
  <c r="J19" i="22"/>
  <c r="V19" i="22"/>
  <c r="Y19" i="22"/>
  <c r="U19" i="22"/>
  <c r="M19" i="22"/>
  <c r="I19" i="22"/>
  <c r="R19" i="22"/>
  <c r="X19" i="22"/>
  <c r="T19" i="22"/>
  <c r="P19" i="22"/>
  <c r="L19" i="22"/>
  <c r="W19" i="22"/>
  <c r="S19" i="22"/>
  <c r="O19" i="22"/>
  <c r="K19" i="22"/>
  <c r="E19" i="22"/>
  <c r="H19" i="22"/>
  <c r="G19" i="22"/>
  <c r="C19" i="22"/>
  <c r="D19" i="22"/>
  <c r="C7" i="22"/>
  <c r="D7" i="22"/>
  <c r="E7" i="22"/>
  <c r="F7" i="22"/>
  <c r="G7" i="22"/>
  <c r="H7" i="22"/>
  <c r="I7" i="22"/>
  <c r="J7" i="22"/>
  <c r="K7" i="22"/>
  <c r="L7" i="22"/>
  <c r="M7" i="22"/>
  <c r="N7" i="22"/>
  <c r="O7" i="22"/>
  <c r="P7" i="22"/>
  <c r="Q7" i="22"/>
  <c r="R7" i="22"/>
  <c r="S7" i="22"/>
  <c r="T7" i="22"/>
  <c r="U7" i="22"/>
  <c r="V7" i="22"/>
  <c r="W7" i="22"/>
  <c r="X7" i="22"/>
  <c r="C8" i="22"/>
  <c r="D8" i="22"/>
  <c r="E8" i="22"/>
  <c r="F8" i="22"/>
  <c r="G8" i="22"/>
  <c r="H8" i="22"/>
  <c r="I8" i="22"/>
  <c r="J8" i="22"/>
  <c r="K8" i="22"/>
  <c r="L8" i="22"/>
  <c r="M8" i="22"/>
  <c r="N8" i="22"/>
  <c r="O8" i="22"/>
  <c r="P8" i="22"/>
  <c r="Q8" i="22"/>
  <c r="R8" i="22"/>
  <c r="S8" i="22"/>
  <c r="T8" i="22"/>
  <c r="U8" i="22"/>
  <c r="V8" i="22"/>
  <c r="W8" i="22"/>
  <c r="X8" i="22"/>
  <c r="Y8" i="22"/>
  <c r="B8" i="22"/>
  <c r="B7" i="22"/>
  <c r="C6" i="22"/>
  <c r="C9" i="22" s="1"/>
  <c r="D6" i="22"/>
  <c r="D9" i="22" s="1"/>
  <c r="E6" i="22"/>
  <c r="E9" i="22" s="1"/>
  <c r="F6" i="22"/>
  <c r="F9" i="22" s="1"/>
  <c r="G6" i="22"/>
  <c r="G9" i="22" s="1"/>
  <c r="H6" i="22"/>
  <c r="H9" i="22" s="1"/>
  <c r="I6" i="22"/>
  <c r="I9" i="22" s="1"/>
  <c r="J6" i="22"/>
  <c r="J9" i="22" s="1"/>
  <c r="K6" i="22"/>
  <c r="K9" i="22" s="1"/>
  <c r="L6" i="22"/>
  <c r="L9" i="22" s="1"/>
  <c r="M6" i="22"/>
  <c r="M9" i="22" s="1"/>
  <c r="N6" i="22"/>
  <c r="N9" i="22" s="1"/>
  <c r="O6" i="22"/>
  <c r="O9" i="22" s="1"/>
  <c r="P6" i="22"/>
  <c r="P9" i="22" s="1"/>
  <c r="Q6" i="22"/>
  <c r="Q9" i="22" s="1"/>
  <c r="R6" i="22"/>
  <c r="R9" i="22" s="1"/>
  <c r="S6" i="22"/>
  <c r="S9" i="22" s="1"/>
  <c r="T6" i="22"/>
  <c r="T9" i="22" s="1"/>
  <c r="U6" i="22"/>
  <c r="U9" i="22" s="1"/>
  <c r="V6" i="22"/>
  <c r="V9" i="22" s="1"/>
  <c r="W6" i="22"/>
  <c r="W9" i="22" s="1"/>
  <c r="X6" i="22"/>
  <c r="X9" i="22" s="1"/>
  <c r="B6" i="22"/>
  <c r="B9" i="22" s="1"/>
  <c r="C37" i="2"/>
  <c r="C35" i="2" s="1"/>
  <c r="C33" i="2"/>
  <c r="C31" i="2" s="1"/>
  <c r="B33" i="2"/>
  <c r="B31" i="2" s="1"/>
  <c r="Z18" i="26"/>
  <c r="Z19" i="26" s="1"/>
  <c r="Z16" i="26"/>
  <c r="Z17" i="26" s="1"/>
  <c r="B19" i="27"/>
  <c r="B24" i="27" s="1"/>
  <c r="B26" i="27" s="1"/>
  <c r="Y33" i="26"/>
  <c r="Y23" i="26" s="1"/>
  <c r="Y32" i="26"/>
  <c r="Y22" i="26" s="1"/>
  <c r="Y19" i="26"/>
  <c r="X19" i="26"/>
  <c r="W19" i="26"/>
  <c r="V19" i="26"/>
  <c r="U19" i="26"/>
  <c r="T19" i="26"/>
  <c r="S19" i="26"/>
  <c r="R19" i="26"/>
  <c r="Q19" i="26"/>
  <c r="P19" i="26"/>
  <c r="O19" i="26"/>
  <c r="N19" i="26"/>
  <c r="M19" i="26"/>
  <c r="L19" i="26"/>
  <c r="K19" i="26"/>
  <c r="J19" i="26"/>
  <c r="I19" i="26"/>
  <c r="H19" i="26"/>
  <c r="G19" i="26"/>
  <c r="F19" i="26"/>
  <c r="E19" i="26"/>
  <c r="D19" i="26"/>
  <c r="C19" i="26"/>
  <c r="AK18" i="26"/>
  <c r="AJ18" i="26"/>
  <c r="AI18" i="26"/>
  <c r="AH18" i="26"/>
  <c r="AG18" i="26"/>
  <c r="AF18" i="26"/>
  <c r="AE18" i="26"/>
  <c r="AD18" i="26"/>
  <c r="AC18" i="26"/>
  <c r="AB18" i="26"/>
  <c r="AA18" i="26"/>
  <c r="Y17" i="26"/>
  <c r="X17" i="26"/>
  <c r="W17" i="26"/>
  <c r="V17" i="26"/>
  <c r="U17" i="26"/>
  <c r="T17" i="26"/>
  <c r="S17" i="26"/>
  <c r="R17" i="26"/>
  <c r="Q17" i="26"/>
  <c r="P17" i="26"/>
  <c r="O17" i="26"/>
  <c r="N17" i="26"/>
  <c r="M17" i="26"/>
  <c r="L17" i="26"/>
  <c r="K17" i="26"/>
  <c r="J17" i="26"/>
  <c r="I17" i="26"/>
  <c r="H17" i="26"/>
  <c r="G17" i="26"/>
  <c r="F17" i="26"/>
  <c r="E17" i="26"/>
  <c r="D17" i="26"/>
  <c r="C17" i="26"/>
  <c r="AK16" i="26"/>
  <c r="AJ16" i="26"/>
  <c r="AI16" i="26"/>
  <c r="AH16" i="26"/>
  <c r="AG16" i="26"/>
  <c r="AF16" i="26"/>
  <c r="AE16" i="26"/>
  <c r="AD16" i="26"/>
  <c r="AC16" i="26"/>
  <c r="AB16" i="26"/>
  <c r="AA16" i="26"/>
  <c r="AK15" i="26"/>
  <c r="AJ15" i="26"/>
  <c r="AI15" i="26"/>
  <c r="AH15" i="26"/>
  <c r="AG15" i="26"/>
  <c r="AF15" i="26"/>
  <c r="AE15" i="26"/>
  <c r="AD15" i="26"/>
  <c r="AC15" i="26"/>
  <c r="AB15" i="26"/>
  <c r="AA15" i="26"/>
  <c r="Z15" i="26"/>
  <c r="Y15" i="26"/>
  <c r="AK14" i="26"/>
  <c r="AJ14" i="26"/>
  <c r="AI14" i="26"/>
  <c r="AH14" i="26"/>
  <c r="AG14" i="26"/>
  <c r="AF14" i="26"/>
  <c r="AE14" i="26"/>
  <c r="AD14" i="26"/>
  <c r="AC14" i="26"/>
  <c r="AB14" i="26"/>
  <c r="AA14" i="26"/>
  <c r="Z14" i="26"/>
  <c r="Y14" i="26"/>
  <c r="Y13" i="26"/>
  <c r="X13" i="26"/>
  <c r="W13" i="26"/>
  <c r="V13" i="26"/>
  <c r="U13" i="26"/>
  <c r="T13" i="26"/>
  <c r="S13" i="26"/>
  <c r="R13" i="26"/>
  <c r="Q13" i="26"/>
  <c r="P13" i="26"/>
  <c r="O13" i="26"/>
  <c r="N13" i="26"/>
  <c r="M13" i="26"/>
  <c r="L13" i="26"/>
  <c r="K13" i="26"/>
  <c r="J13" i="26"/>
  <c r="I13" i="26"/>
  <c r="H13" i="26"/>
  <c r="G13" i="26"/>
  <c r="F13" i="26"/>
  <c r="E13" i="26"/>
  <c r="D13" i="26"/>
  <c r="C13" i="26"/>
  <c r="AC19" i="26" l="1"/>
  <c r="AG19" i="26"/>
  <c r="AK19" i="26"/>
  <c r="AA17" i="26"/>
  <c r="AE17" i="26"/>
  <c r="AI17" i="26"/>
  <c r="AB17" i="26"/>
  <c r="AF17" i="26"/>
  <c r="AJ17" i="26"/>
  <c r="AB19" i="26"/>
  <c r="AF19" i="26"/>
  <c r="AJ19" i="26"/>
  <c r="AD17" i="26"/>
  <c r="AH17" i="26"/>
  <c r="AA19" i="26"/>
  <c r="AE19" i="26"/>
  <c r="AI19" i="26"/>
  <c r="AC17" i="26"/>
  <c r="AG17" i="26"/>
  <c r="AK17" i="26"/>
  <c r="AD19" i="26"/>
  <c r="AH19" i="26"/>
  <c r="Y43" i="26" l="1"/>
  <c r="X43" i="26"/>
  <c r="W43" i="26"/>
  <c r="V43" i="26"/>
  <c r="U43" i="26"/>
  <c r="T43" i="26"/>
  <c r="S43" i="26"/>
  <c r="R43" i="26"/>
  <c r="Q43" i="26"/>
  <c r="P43" i="26"/>
  <c r="O43" i="26"/>
  <c r="N43" i="26"/>
  <c r="M43" i="26"/>
  <c r="L43" i="26"/>
  <c r="K43" i="26"/>
  <c r="J43" i="26"/>
  <c r="I43" i="26"/>
  <c r="H43" i="26"/>
  <c r="G43" i="26"/>
  <c r="F43" i="26"/>
  <c r="E43" i="26"/>
  <c r="D43" i="26"/>
  <c r="C43" i="26"/>
  <c r="C15" i="2" l="1"/>
  <c r="B15" i="2"/>
  <c r="J12" i="11"/>
  <c r="K12" i="11"/>
  <c r="J13" i="11"/>
  <c r="K13" i="11"/>
  <c r="J14" i="11"/>
  <c r="K14" i="11"/>
  <c r="J15" i="11"/>
  <c r="K15" i="11"/>
  <c r="J16" i="11"/>
  <c r="K16" i="11"/>
  <c r="J17" i="11"/>
  <c r="K17" i="11"/>
  <c r="J18" i="11"/>
  <c r="K18" i="11"/>
  <c r="J19" i="11"/>
  <c r="K19" i="11"/>
  <c r="F64" i="3" l="1"/>
  <c r="E64" i="3"/>
  <c r="E63" i="3"/>
  <c r="E62" i="3"/>
  <c r="E113" i="13" l="1"/>
  <c r="AK44" i="1"/>
  <c r="AJ44" i="1"/>
  <c r="AI44" i="1"/>
  <c r="AH44" i="1"/>
  <c r="AG44" i="1"/>
  <c r="AF44" i="1"/>
  <c r="AE44" i="1"/>
  <c r="AD44" i="1"/>
  <c r="AC44" i="1"/>
  <c r="AB44" i="1"/>
  <c r="AA44" i="1"/>
  <c r="Z44" i="1"/>
  <c r="AK21" i="1"/>
  <c r="AJ21" i="1"/>
  <c r="AI21" i="1"/>
  <c r="AH21" i="1"/>
  <c r="AG21" i="1"/>
  <c r="AF21" i="1"/>
  <c r="AE21" i="1"/>
  <c r="AD21" i="1"/>
  <c r="AC21" i="1"/>
  <c r="AB21" i="1"/>
  <c r="AA21" i="1"/>
  <c r="AK20" i="1"/>
  <c r="AJ20" i="1"/>
  <c r="AI20" i="1"/>
  <c r="AH20" i="1"/>
  <c r="AG20" i="1"/>
  <c r="AF20" i="1"/>
  <c r="AE20" i="1"/>
  <c r="AD20" i="1"/>
  <c r="AC20" i="1"/>
  <c r="AB20" i="1"/>
  <c r="AA20" i="1"/>
  <c r="AK18" i="1"/>
  <c r="AJ18" i="1"/>
  <c r="AI18" i="1"/>
  <c r="AH18" i="1"/>
  <c r="AG18" i="1"/>
  <c r="AF18" i="1"/>
  <c r="AE18" i="1"/>
  <c r="AD18" i="1"/>
  <c r="AC18" i="1"/>
  <c r="AB18" i="1"/>
  <c r="AK17" i="1"/>
  <c r="AJ17" i="1"/>
  <c r="AI17" i="1"/>
  <c r="AH17" i="1"/>
  <c r="AG17" i="1"/>
  <c r="AF17" i="1"/>
  <c r="AE17" i="1"/>
  <c r="AD17" i="1"/>
  <c r="AC17" i="1"/>
  <c r="AB17" i="1"/>
  <c r="AA17" i="1"/>
  <c r="AK16" i="1"/>
  <c r="AJ16" i="1"/>
  <c r="AI16" i="1"/>
  <c r="AH16" i="1"/>
  <c r="AG16" i="1"/>
  <c r="AF16" i="1"/>
  <c r="AE16" i="1"/>
  <c r="AD16" i="1"/>
  <c r="AC16" i="1"/>
  <c r="AB16" i="1"/>
  <c r="AA16" i="1"/>
  <c r="AK14" i="1"/>
  <c r="AJ14" i="1"/>
  <c r="AI14" i="1"/>
  <c r="AH14" i="1"/>
  <c r="AG14" i="1"/>
  <c r="AF14" i="1"/>
  <c r="AE14" i="1"/>
  <c r="AD14" i="1"/>
  <c r="AC14" i="1"/>
  <c r="AB14" i="1"/>
  <c r="AA14" i="1"/>
  <c r="F75" i="3"/>
  <c r="E69" i="3"/>
  <c r="AK15" i="1" l="1"/>
  <c r="AD19" i="1"/>
  <c r="AH19" i="1"/>
  <c r="AC19" i="1"/>
  <c r="AK19" i="1"/>
  <c r="AJ15" i="1"/>
  <c r="AG19" i="1"/>
  <c r="AF15" i="1"/>
  <c r="AI15" i="1"/>
  <c r="AI19" i="1"/>
  <c r="AJ19" i="1"/>
  <c r="AB15" i="1"/>
  <c r="AG15" i="1"/>
  <c r="AD15" i="1"/>
  <c r="AH15" i="1"/>
  <c r="AA19" i="1"/>
  <c r="AE19" i="1"/>
  <c r="AC15" i="1"/>
  <c r="AE15" i="1"/>
  <c r="AB19" i="1"/>
  <c r="AF19" i="1"/>
  <c r="E54" i="3"/>
  <c r="E48" i="3"/>
  <c r="E46" i="3"/>
  <c r="Z14" i="1"/>
  <c r="Z21" i="1"/>
  <c r="Z20" i="1"/>
  <c r="Z18" i="1"/>
  <c r="Z17" i="1"/>
  <c r="Z16" i="1"/>
  <c r="C9" i="2"/>
  <c r="M9" i="2"/>
  <c r="L9" i="2"/>
  <c r="K9" i="2"/>
  <c r="J9" i="2"/>
  <c r="I9" i="2"/>
  <c r="H9" i="2"/>
  <c r="G9" i="2"/>
  <c r="F9" i="2"/>
  <c r="E9" i="2"/>
  <c r="D9" i="2"/>
  <c r="M12" i="2"/>
  <c r="L12" i="2"/>
  <c r="K12" i="2"/>
  <c r="J12" i="2"/>
  <c r="I12" i="2"/>
  <c r="H12" i="2"/>
  <c r="G12" i="2"/>
  <c r="F12" i="2"/>
  <c r="E12" i="2"/>
  <c r="D12" i="2"/>
  <c r="B9" i="2"/>
  <c r="AA18" i="1"/>
  <c r="E119" i="13"/>
  <c r="E116" i="13"/>
  <c r="E115" i="13"/>
  <c r="E109" i="13"/>
  <c r="Y14" i="1" s="1"/>
  <c r="E107" i="13"/>
  <c r="E11" i="13"/>
  <c r="E9" i="13"/>
  <c r="AA15" i="1" l="1"/>
  <c r="I9" i="6"/>
  <c r="X44" i="1" l="1"/>
  <c r="W44" i="1"/>
  <c r="V44" i="1"/>
  <c r="U44" i="1"/>
  <c r="T44" i="1"/>
  <c r="S44" i="1"/>
  <c r="R44" i="1"/>
  <c r="Q44" i="1"/>
  <c r="P44" i="1"/>
  <c r="O44" i="1"/>
  <c r="N44" i="1"/>
  <c r="M44" i="1"/>
  <c r="L44" i="1"/>
  <c r="K44" i="1"/>
  <c r="J44" i="1"/>
  <c r="I44" i="1"/>
  <c r="H44" i="1"/>
  <c r="G44" i="1"/>
  <c r="F44" i="1"/>
  <c r="E44" i="1"/>
  <c r="D44" i="1"/>
  <c r="C44" i="1"/>
  <c r="B44" i="1"/>
  <c r="O117" i="15" l="1"/>
  <c r="N117" i="15"/>
  <c r="M117" i="15"/>
  <c r="L117" i="15"/>
  <c r="K117" i="15"/>
  <c r="J117" i="15"/>
  <c r="I117" i="15"/>
  <c r="H117" i="15"/>
  <c r="G117" i="15"/>
  <c r="F117" i="15"/>
  <c r="E117" i="15"/>
  <c r="D117" i="15"/>
  <c r="Q46" i="13"/>
  <c r="P46" i="13"/>
  <c r="O46" i="13"/>
  <c r="N46" i="13"/>
  <c r="M46" i="13"/>
  <c r="L46" i="13"/>
  <c r="K46" i="13"/>
  <c r="J46" i="13"/>
  <c r="I46" i="13"/>
  <c r="H46" i="13"/>
  <c r="G46" i="13"/>
  <c r="F46" i="13"/>
  <c r="I15" i="6"/>
  <c r="I12" i="6" s="1"/>
  <c r="B12" i="2" s="1"/>
  <c r="E72" i="3" l="1"/>
  <c r="F105" i="13"/>
  <c r="F103" i="13"/>
  <c r="Z22" i="26" s="1"/>
  <c r="F104" i="13" l="1"/>
  <c r="Z23" i="26" l="1"/>
  <c r="Z24" i="26" s="1"/>
  <c r="B6" i="2" l="1"/>
  <c r="B10" i="2"/>
  <c r="B16" i="2"/>
  <c r="B24" i="2"/>
  <c r="C9" i="6"/>
  <c r="F9" i="6"/>
  <c r="F28" i="6"/>
  <c r="C28" i="6"/>
  <c r="G105" i="13" l="1"/>
  <c r="Z19" i="1"/>
  <c r="Z15" i="1"/>
  <c r="B8" i="2"/>
  <c r="E22" i="25"/>
  <c r="F13" i="25"/>
  <c r="O106" i="25"/>
  <c r="O104" i="25"/>
  <c r="O105" i="25" s="1"/>
  <c r="O99" i="25"/>
  <c r="O69" i="25"/>
  <c r="O67" i="25"/>
  <c r="O68" i="25" s="1"/>
  <c r="O43" i="25"/>
  <c r="O41" i="25"/>
  <c r="O42" i="25" s="1"/>
  <c r="O22" i="25"/>
  <c r="O20" i="25"/>
  <c r="O21" i="25" s="1"/>
  <c r="O13" i="25"/>
  <c r="O3" i="25"/>
  <c r="O77" i="16"/>
  <c r="O75" i="16"/>
  <c r="O76" i="16" s="1"/>
  <c r="O48" i="16"/>
  <c r="O46" i="16"/>
  <c r="O47" i="16" s="1"/>
  <c r="O23" i="16"/>
  <c r="O21" i="16"/>
  <c r="O22" i="16" s="1"/>
  <c r="O13" i="16"/>
  <c r="O3" i="16"/>
  <c r="O159" i="15"/>
  <c r="O115" i="15"/>
  <c r="O116" i="15" s="1"/>
  <c r="O113" i="15"/>
  <c r="O109" i="15"/>
  <c r="O77" i="15"/>
  <c r="O75" i="15"/>
  <c r="O76" i="15" s="1"/>
  <c r="O70" i="15"/>
  <c r="O48" i="15"/>
  <c r="O46" i="15"/>
  <c r="O47" i="15" s="1"/>
  <c r="O41" i="15"/>
  <c r="O12" i="15" s="1"/>
  <c r="O24" i="15"/>
  <c r="O22" i="15"/>
  <c r="O23" i="15" s="1"/>
  <c r="O140" i="14"/>
  <c r="O100" i="14"/>
  <c r="O98" i="14"/>
  <c r="O99" i="14" s="1"/>
  <c r="O92" i="14"/>
  <c r="O67" i="14"/>
  <c r="O65" i="14"/>
  <c r="O66" i="14" s="1"/>
  <c r="O60" i="14"/>
  <c r="O40" i="14"/>
  <c r="O38" i="14"/>
  <c r="O39" i="14" s="1"/>
  <c r="O33" i="14"/>
  <c r="O18" i="14"/>
  <c r="O16" i="14"/>
  <c r="O17" i="14" s="1"/>
  <c r="O14" i="14"/>
  <c r="O7" i="14"/>
  <c r="N5" i="25"/>
  <c r="BB18" i="13"/>
  <c r="BB16" i="13"/>
  <c r="D101" i="13"/>
  <c r="E101" i="13"/>
  <c r="O24" i="25" l="1"/>
  <c r="H105" i="13"/>
  <c r="O5" i="25"/>
  <c r="O108" i="25" s="1"/>
  <c r="O5" i="16"/>
  <c r="O50" i="16" s="1"/>
  <c r="Q19" i="3"/>
  <c r="O25" i="16"/>
  <c r="I105" i="13" l="1"/>
  <c r="O45" i="25"/>
  <c r="O71" i="25"/>
  <c r="O8" i="16"/>
  <c r="Q20" i="3"/>
  <c r="O79" i="16"/>
  <c r="O8" i="25"/>
  <c r="Q21" i="3"/>
  <c r="C3" i="25"/>
  <c r="C3" i="16"/>
  <c r="Q62" i="3" l="1"/>
  <c r="J105" i="13"/>
  <c r="C3" i="15"/>
  <c r="D70" i="15"/>
  <c r="E47" i="3"/>
  <c r="E56" i="3"/>
  <c r="Q87" i="13"/>
  <c r="Q70" i="13"/>
  <c r="Q67" i="13"/>
  <c r="Q25" i="13"/>
  <c r="Q22" i="13"/>
  <c r="Q19" i="13"/>
  <c r="Q29" i="3"/>
  <c r="Q40" i="3"/>
  <c r="BA18" i="13"/>
  <c r="AZ18" i="13"/>
  <c r="AY18" i="13"/>
  <c r="AX18" i="13"/>
  <c r="AW18" i="13"/>
  <c r="AV18" i="13"/>
  <c r="AU18" i="13"/>
  <c r="AT18" i="13"/>
  <c r="AS18" i="13"/>
  <c r="AR18" i="13"/>
  <c r="AQ18" i="13"/>
  <c r="AP18" i="13"/>
  <c r="AO18" i="13"/>
  <c r="AN18" i="13"/>
  <c r="AM18" i="13"/>
  <c r="AL18" i="13"/>
  <c r="AK18" i="13"/>
  <c r="AJ18" i="13"/>
  <c r="AI18" i="13"/>
  <c r="AH18" i="13"/>
  <c r="AG18" i="13"/>
  <c r="AF18" i="13"/>
  <c r="AE18" i="13"/>
  <c r="AD18" i="13"/>
  <c r="AC18" i="13"/>
  <c r="AB18" i="13"/>
  <c r="AA18" i="13"/>
  <c r="Z18" i="13"/>
  <c r="Y18" i="13"/>
  <c r="X18" i="13"/>
  <c r="W18" i="13"/>
  <c r="V18" i="13"/>
  <c r="U18" i="13"/>
  <c r="T18" i="13"/>
  <c r="S18" i="13"/>
  <c r="R18" i="13"/>
  <c r="Q18" i="13"/>
  <c r="P18" i="13"/>
  <c r="O18" i="13"/>
  <c r="N18" i="13"/>
  <c r="M18" i="13"/>
  <c r="L18" i="13"/>
  <c r="K18" i="13"/>
  <c r="J18" i="13"/>
  <c r="I18" i="13"/>
  <c r="BA16" i="13"/>
  <c r="AZ16" i="13"/>
  <c r="AY16" i="13"/>
  <c r="AX16" i="13"/>
  <c r="AW16" i="13"/>
  <c r="AV16" i="13"/>
  <c r="AU16" i="13"/>
  <c r="AT16" i="13"/>
  <c r="AS16" i="13"/>
  <c r="AR16" i="13"/>
  <c r="AQ16" i="13"/>
  <c r="AP16" i="13"/>
  <c r="AO16" i="13"/>
  <c r="AN16" i="13"/>
  <c r="AM16" i="13"/>
  <c r="AL16" i="13"/>
  <c r="AK16" i="13"/>
  <c r="AJ16" i="13"/>
  <c r="AI16" i="13"/>
  <c r="AH16" i="13"/>
  <c r="AG16" i="13"/>
  <c r="AF16" i="13"/>
  <c r="AE16" i="13"/>
  <c r="AD16" i="13"/>
  <c r="AC16" i="13"/>
  <c r="AB16" i="13"/>
  <c r="AA16" i="13"/>
  <c r="Z16" i="13"/>
  <c r="Y16" i="13"/>
  <c r="X16" i="13"/>
  <c r="W16" i="13"/>
  <c r="V16" i="13"/>
  <c r="U16" i="13"/>
  <c r="T16" i="13"/>
  <c r="S16" i="13"/>
  <c r="R16" i="13"/>
  <c r="Q16" i="13"/>
  <c r="P16" i="13"/>
  <c r="O16" i="13"/>
  <c r="N16" i="13"/>
  <c r="M16" i="13"/>
  <c r="L16" i="13"/>
  <c r="K16" i="13"/>
  <c r="J16" i="13"/>
  <c r="E53" i="3" l="1"/>
  <c r="K105" i="13"/>
  <c r="O6" i="15"/>
  <c r="O4" i="14"/>
  <c r="D6" i="14"/>
  <c r="D44" i="15"/>
  <c r="E61" i="3" l="1"/>
  <c r="L105" i="13"/>
  <c r="I32" i="6"/>
  <c r="C12" i="2" s="1"/>
  <c r="O69" i="14"/>
  <c r="Q8" i="3"/>
  <c r="O42" i="14"/>
  <c r="O102" i="14"/>
  <c r="O20" i="14"/>
  <c r="O119" i="15"/>
  <c r="Q9" i="3"/>
  <c r="O50" i="15"/>
  <c r="O79" i="15"/>
  <c r="O26" i="15"/>
  <c r="D45" i="15"/>
  <c r="Q7" i="3" l="1"/>
  <c r="M105" i="13"/>
  <c r="N105" i="13" l="1"/>
  <c r="O105" i="13" l="1"/>
  <c r="P105" i="13" l="1"/>
  <c r="I28" i="6"/>
  <c r="F11" i="13"/>
  <c r="G11" i="13" s="1"/>
  <c r="H11" i="13" s="1"/>
  <c r="I11" i="13" s="1"/>
  <c r="J11" i="13" s="1"/>
  <c r="K11" i="13" s="1"/>
  <c r="L11" i="13" s="1"/>
  <c r="M11" i="13" s="1"/>
  <c r="N11" i="13" s="1"/>
  <c r="O11" i="13" s="1"/>
  <c r="P11" i="13" s="1"/>
  <c r="Q11" i="13" s="1"/>
  <c r="O74" i="15" l="1"/>
  <c r="Q105" i="13"/>
  <c r="F29" i="3" l="1"/>
  <c r="H106" i="13" l="1"/>
  <c r="G103" i="13"/>
  <c r="AA22" i="26" s="1"/>
  <c r="I106" i="13" l="1"/>
  <c r="G104" i="13"/>
  <c r="AA23" i="26" l="1"/>
  <c r="AA24" i="26" s="1"/>
  <c r="F106" i="13"/>
  <c r="J106" i="13"/>
  <c r="G106" i="13" l="1"/>
  <c r="H103" i="13" l="1"/>
  <c r="AB22" i="26" s="1"/>
  <c r="I103" i="13" l="1"/>
  <c r="AC22" i="26" s="1"/>
  <c r="J103" i="13" l="1"/>
  <c r="AD22" i="26" s="1"/>
  <c r="N106" i="25"/>
  <c r="M106" i="25"/>
  <c r="L106" i="25"/>
  <c r="K106" i="25"/>
  <c r="J106" i="25"/>
  <c r="I106" i="25"/>
  <c r="H106" i="25"/>
  <c r="G106" i="25"/>
  <c r="F106" i="25"/>
  <c r="E106" i="25"/>
  <c r="D106" i="25"/>
  <c r="N104" i="25"/>
  <c r="M104" i="25"/>
  <c r="L104" i="25"/>
  <c r="K104" i="25"/>
  <c r="J104" i="25"/>
  <c r="I104" i="25"/>
  <c r="H104" i="25"/>
  <c r="G104" i="25"/>
  <c r="F104" i="25"/>
  <c r="E104" i="25"/>
  <c r="D104" i="25"/>
  <c r="D103" i="25"/>
  <c r="N69" i="25"/>
  <c r="M69" i="25"/>
  <c r="L69" i="25"/>
  <c r="K69" i="25"/>
  <c r="J69" i="25"/>
  <c r="I69" i="25"/>
  <c r="H69" i="25"/>
  <c r="G69" i="25"/>
  <c r="F69" i="25"/>
  <c r="E69" i="25"/>
  <c r="D69" i="25"/>
  <c r="N67" i="25"/>
  <c r="N68" i="25" s="1"/>
  <c r="M67" i="25"/>
  <c r="M68" i="25" s="1"/>
  <c r="L67" i="25"/>
  <c r="L68" i="25" s="1"/>
  <c r="K67" i="25"/>
  <c r="K68" i="25" s="1"/>
  <c r="J67" i="25"/>
  <c r="J68" i="25" s="1"/>
  <c r="I67" i="25"/>
  <c r="I68" i="25" s="1"/>
  <c r="H67" i="25"/>
  <c r="H68" i="25" s="1"/>
  <c r="G67" i="25"/>
  <c r="G68" i="25" s="1"/>
  <c r="F67" i="25"/>
  <c r="F68" i="25" s="1"/>
  <c r="E67" i="25"/>
  <c r="E68" i="25" s="1"/>
  <c r="D67" i="25"/>
  <c r="D68" i="25" s="1"/>
  <c r="D66" i="25"/>
  <c r="N43" i="25"/>
  <c r="M43" i="25"/>
  <c r="L43" i="25"/>
  <c r="K43" i="25"/>
  <c r="J43" i="25"/>
  <c r="I43" i="25"/>
  <c r="H43" i="25"/>
  <c r="G43" i="25"/>
  <c r="F43" i="25"/>
  <c r="E43" i="25"/>
  <c r="D43" i="25"/>
  <c r="N41" i="25"/>
  <c r="N42" i="25" s="1"/>
  <c r="M41" i="25"/>
  <c r="M42" i="25" s="1"/>
  <c r="L41" i="25"/>
  <c r="L42" i="25" s="1"/>
  <c r="K41" i="25"/>
  <c r="K42" i="25" s="1"/>
  <c r="J41" i="25"/>
  <c r="J42" i="25" s="1"/>
  <c r="I41" i="25"/>
  <c r="I42" i="25" s="1"/>
  <c r="H41" i="25"/>
  <c r="H42" i="25" s="1"/>
  <c r="G41" i="25"/>
  <c r="G42" i="25" s="1"/>
  <c r="F41" i="25"/>
  <c r="F42" i="25" s="1"/>
  <c r="E41" i="25"/>
  <c r="E42" i="25" s="1"/>
  <c r="D41" i="25"/>
  <c r="D42" i="25" s="1"/>
  <c r="D20" i="25"/>
  <c r="D21" i="25" s="1"/>
  <c r="E20" i="25"/>
  <c r="E21" i="25" s="1"/>
  <c r="F20" i="25"/>
  <c r="F21" i="25" s="1"/>
  <c r="G20" i="25"/>
  <c r="G21" i="25" s="1"/>
  <c r="H20" i="25"/>
  <c r="H21" i="25" s="1"/>
  <c r="I20" i="25"/>
  <c r="I21" i="25" s="1"/>
  <c r="J20" i="25"/>
  <c r="J21" i="25" s="1"/>
  <c r="K20" i="25"/>
  <c r="K21" i="25" s="1"/>
  <c r="L20" i="25"/>
  <c r="L21" i="25" s="1"/>
  <c r="M20" i="25"/>
  <c r="M21" i="25" s="1"/>
  <c r="N20" i="25"/>
  <c r="N21" i="25" s="1"/>
  <c r="D22" i="25"/>
  <c r="F22" i="25"/>
  <c r="G22" i="25"/>
  <c r="G24" i="25" s="1"/>
  <c r="H22" i="25"/>
  <c r="H24" i="25" s="1"/>
  <c r="I22" i="25"/>
  <c r="I24" i="25" s="1"/>
  <c r="J22" i="25"/>
  <c r="J24" i="25" s="1"/>
  <c r="K22" i="25"/>
  <c r="K24" i="25" s="1"/>
  <c r="L22" i="25"/>
  <c r="L24" i="25" s="1"/>
  <c r="M22" i="25"/>
  <c r="M24" i="25" s="1"/>
  <c r="N22" i="25"/>
  <c r="N24" i="25" s="1"/>
  <c r="N99" i="25"/>
  <c r="M99" i="25"/>
  <c r="L99" i="25"/>
  <c r="K99" i="25"/>
  <c r="J99" i="25"/>
  <c r="I99" i="25"/>
  <c r="H99" i="25"/>
  <c r="G99" i="25"/>
  <c r="F99" i="25"/>
  <c r="E99" i="25"/>
  <c r="D99" i="25"/>
  <c r="O73" i="16" l="1"/>
  <c r="O74" i="16"/>
  <c r="G66" i="25"/>
  <c r="O44" i="16"/>
  <c r="O45" i="16"/>
  <c r="O44" i="15"/>
  <c r="D40" i="25"/>
  <c r="F103" i="25"/>
  <c r="E103" i="25"/>
  <c r="E66" i="25"/>
  <c r="F66" i="25"/>
  <c r="D19" i="25"/>
  <c r="P70" i="13"/>
  <c r="O70" i="13"/>
  <c r="N70" i="13"/>
  <c r="M70" i="13"/>
  <c r="L70" i="13"/>
  <c r="K70" i="13"/>
  <c r="J70" i="13"/>
  <c r="I70" i="13"/>
  <c r="H70" i="13"/>
  <c r="G70" i="13"/>
  <c r="F70" i="13"/>
  <c r="P67" i="13"/>
  <c r="O67" i="13"/>
  <c r="N67" i="13"/>
  <c r="M67" i="13"/>
  <c r="L67" i="13"/>
  <c r="K67" i="13"/>
  <c r="J67" i="13"/>
  <c r="I67" i="13"/>
  <c r="H67" i="13"/>
  <c r="G67" i="13"/>
  <c r="F67" i="13"/>
  <c r="H66" i="25" l="1"/>
  <c r="E19" i="25"/>
  <c r="F19" i="25"/>
  <c r="E40" i="25"/>
  <c r="H104" i="13"/>
  <c r="AB23" i="26" s="1"/>
  <c r="AB24" i="26" s="1"/>
  <c r="H19" i="25" l="1"/>
  <c r="K106" i="13"/>
  <c r="H103" i="25"/>
  <c r="I66" i="25"/>
  <c r="O19" i="16"/>
  <c r="O20" i="16"/>
  <c r="G19" i="25"/>
  <c r="G103" i="25"/>
  <c r="F40" i="25"/>
  <c r="O45" i="15"/>
  <c r="O114" i="15"/>
  <c r="O73" i="15"/>
  <c r="O37" i="14"/>
  <c r="I19" i="25" l="1"/>
  <c r="G40" i="25"/>
  <c r="L106" i="13"/>
  <c r="I103" i="25"/>
  <c r="J66" i="25"/>
  <c r="I104" i="13"/>
  <c r="AC23" i="26" s="1"/>
  <c r="AC24" i="26" s="1"/>
  <c r="O64" i="14"/>
  <c r="O97" i="14"/>
  <c r="O15" i="14"/>
  <c r="J19" i="25" l="1"/>
  <c r="H40" i="25"/>
  <c r="J104" i="13"/>
  <c r="AD23" i="26" s="1"/>
  <c r="AD24" i="26" s="1"/>
  <c r="M106" i="13"/>
  <c r="J103" i="25"/>
  <c r="K66" i="25"/>
  <c r="F9" i="13"/>
  <c r="Z12" i="26" s="1"/>
  <c r="Z13" i="26" s="1"/>
  <c r="E120" i="13"/>
  <c r="F108" i="13" l="1"/>
  <c r="Z21" i="26" s="1"/>
  <c r="C19" i="27" s="1"/>
  <c r="C24" i="27" s="1"/>
  <c r="C26" i="27" s="1"/>
  <c r="K19" i="25"/>
  <c r="I40" i="25"/>
  <c r="K104" i="13"/>
  <c r="AE23" i="26" s="1"/>
  <c r="N106" i="13"/>
  <c r="K103" i="25"/>
  <c r="L66" i="25"/>
  <c r="G9" i="13"/>
  <c r="AA12" i="26" s="1"/>
  <c r="AA13" i="26" s="1"/>
  <c r="F120" i="13"/>
  <c r="N105" i="25"/>
  <c r="M105" i="25"/>
  <c r="L105" i="25"/>
  <c r="K105" i="25"/>
  <c r="J105" i="25"/>
  <c r="I105" i="25"/>
  <c r="H105" i="25"/>
  <c r="G105" i="25"/>
  <c r="F105" i="25"/>
  <c r="E105" i="25"/>
  <c r="D105" i="25"/>
  <c r="N13" i="25"/>
  <c r="M13" i="25"/>
  <c r="L13" i="25"/>
  <c r="K13" i="25"/>
  <c r="J13" i="25"/>
  <c r="I13" i="25"/>
  <c r="H13" i="25"/>
  <c r="G13" i="25"/>
  <c r="E13" i="25"/>
  <c r="D13" i="25"/>
  <c r="G3" i="25"/>
  <c r="F3" i="25"/>
  <c r="E3" i="25"/>
  <c r="D3" i="25"/>
  <c r="G108" i="13" l="1"/>
  <c r="AA21" i="26" s="1"/>
  <c r="D19" i="27" s="1"/>
  <c r="D24" i="27" s="1"/>
  <c r="D26" i="27" s="1"/>
  <c r="L19" i="25"/>
  <c r="C6" i="2"/>
  <c r="J40" i="25"/>
  <c r="L104" i="13"/>
  <c r="AF23" i="26" s="1"/>
  <c r="L103" i="25"/>
  <c r="M66" i="25"/>
  <c r="H9" i="13"/>
  <c r="AB12" i="26" s="1"/>
  <c r="AB13" i="26" s="1"/>
  <c r="G120" i="13"/>
  <c r="E14" i="25"/>
  <c r="E15" i="25" s="1"/>
  <c r="C29" i="2" s="1"/>
  <c r="D14" i="25"/>
  <c r="D15" i="25" s="1"/>
  <c r="B29" i="2" s="1"/>
  <c r="G14" i="25"/>
  <c r="G15" i="25" s="1"/>
  <c r="F14" i="25"/>
  <c r="F15" i="25" s="1"/>
  <c r="H108" i="13" l="1"/>
  <c r="AB21" i="26" s="1"/>
  <c r="E19" i="27" s="1"/>
  <c r="E24" i="27" s="1"/>
  <c r="E26" i="27" s="1"/>
  <c r="M19" i="25"/>
  <c r="K40" i="25"/>
  <c r="M104" i="13"/>
  <c r="AG23" i="26" s="1"/>
  <c r="M103" i="25"/>
  <c r="N66" i="25"/>
  <c r="I9" i="13"/>
  <c r="AC12" i="26" s="1"/>
  <c r="AC13" i="26" s="1"/>
  <c r="H120" i="13"/>
  <c r="G24" i="3"/>
  <c r="D29" i="2"/>
  <c r="H24" i="3"/>
  <c r="E29" i="2"/>
  <c r="I24" i="3"/>
  <c r="F24" i="3"/>
  <c r="E19" i="13"/>
  <c r="D19" i="13"/>
  <c r="I108" i="13" l="1"/>
  <c r="AC21" i="26" s="1"/>
  <c r="F19" i="27" s="1"/>
  <c r="F24" i="27" s="1"/>
  <c r="N19" i="25"/>
  <c r="O106" i="13"/>
  <c r="L40" i="25"/>
  <c r="N104" i="13"/>
  <c r="AH23" i="26" s="1"/>
  <c r="O103" i="25"/>
  <c r="N103" i="25"/>
  <c r="O66" i="25"/>
  <c r="J9" i="13"/>
  <c r="AD12" i="26" s="1"/>
  <c r="AD13" i="26" s="1"/>
  <c r="I120" i="13"/>
  <c r="O4" i="15"/>
  <c r="J108" i="13" l="1"/>
  <c r="AD21" i="26" s="1"/>
  <c r="G19" i="27" s="1"/>
  <c r="G24" i="27" s="1"/>
  <c r="O19" i="25"/>
  <c r="P106" i="13"/>
  <c r="M40" i="25"/>
  <c r="O104" i="13"/>
  <c r="AI23" i="26" s="1"/>
  <c r="O21" i="15"/>
  <c r="O20" i="15"/>
  <c r="K9" i="13"/>
  <c r="AE12" i="26" s="1"/>
  <c r="AE13" i="26" s="1"/>
  <c r="J120" i="13"/>
  <c r="K108" i="13" l="1"/>
  <c r="AE21" i="26" s="1"/>
  <c r="H19" i="27" s="1"/>
  <c r="H24" i="27" s="1"/>
  <c r="Q106" i="13"/>
  <c r="N40" i="25"/>
  <c r="P104" i="13"/>
  <c r="AJ23" i="26" s="1"/>
  <c r="L9" i="13"/>
  <c r="AF12" i="26" s="1"/>
  <c r="AF13" i="26" s="1"/>
  <c r="K120" i="13"/>
  <c r="P4" i="15"/>
  <c r="H18" i="13"/>
  <c r="G18" i="13"/>
  <c r="F18" i="13"/>
  <c r="I16" i="13"/>
  <c r="H16" i="13"/>
  <c r="G16" i="13"/>
  <c r="F16" i="13"/>
  <c r="L108" i="13" l="1"/>
  <c r="AF21" i="26" s="1"/>
  <c r="I19" i="27" s="1"/>
  <c r="I24" i="27" s="1"/>
  <c r="L117" i="13"/>
  <c r="O40" i="25"/>
  <c r="Q104" i="13"/>
  <c r="AK23" i="26" s="1"/>
  <c r="L120" i="13"/>
  <c r="L112" i="13"/>
  <c r="M9" i="13"/>
  <c r="AG12" i="26" s="1"/>
  <c r="AG13" i="26" s="1"/>
  <c r="Q4" i="15"/>
  <c r="M108" i="13" l="1"/>
  <c r="AG21" i="26" s="1"/>
  <c r="J19" i="27" s="1"/>
  <c r="J24" i="27" s="1"/>
  <c r="N9" i="13"/>
  <c r="AH12" i="26" s="1"/>
  <c r="AH13" i="26" s="1"/>
  <c r="M120" i="13"/>
  <c r="R4" i="15"/>
  <c r="N108" i="13" l="1"/>
  <c r="AH21" i="26" s="1"/>
  <c r="K19" i="27" s="1"/>
  <c r="K24" i="27" s="1"/>
  <c r="O9" i="13"/>
  <c r="AI12" i="26" s="1"/>
  <c r="AI13" i="26" s="1"/>
  <c r="N120" i="13"/>
  <c r="S4" i="15"/>
  <c r="O108" i="13" l="1"/>
  <c r="AI21" i="26" s="1"/>
  <c r="L19" i="27" s="1"/>
  <c r="L24" i="27" s="1"/>
  <c r="O96" i="14"/>
  <c r="K103" i="13"/>
  <c r="AE22" i="26" s="1"/>
  <c r="AE24" i="26" s="1"/>
  <c r="L103" i="13"/>
  <c r="AF22" i="26" s="1"/>
  <c r="AF24" i="26" s="1"/>
  <c r="P9" i="13"/>
  <c r="AJ12" i="26" s="1"/>
  <c r="AJ13" i="26" s="1"/>
  <c r="O120" i="13"/>
  <c r="T4" i="15"/>
  <c r="D13" i="16"/>
  <c r="E13" i="16"/>
  <c r="F13" i="16"/>
  <c r="G13" i="16"/>
  <c r="H13" i="16"/>
  <c r="I13" i="16"/>
  <c r="J13" i="16"/>
  <c r="K13" i="16"/>
  <c r="L13" i="16"/>
  <c r="M13" i="16"/>
  <c r="N13" i="16"/>
  <c r="P120" i="13" l="1"/>
  <c r="Q9" i="13"/>
  <c r="AK12" i="26" s="1"/>
  <c r="AK13" i="26" s="1"/>
  <c r="U4" i="15"/>
  <c r="AK89" i="1" l="1"/>
  <c r="AK17" i="22" s="1"/>
  <c r="M103" i="13"/>
  <c r="AG22" i="26" s="1"/>
  <c r="AG24" i="26" s="1"/>
  <c r="N103" i="13"/>
  <c r="AH22" i="26" s="1"/>
  <c r="AH24" i="26" s="1"/>
  <c r="Q117" i="13"/>
  <c r="Q114" i="13"/>
  <c r="Q120" i="13"/>
  <c r="Q112" i="13"/>
  <c r="Q118" i="13"/>
  <c r="Q110" i="13"/>
  <c r="V4" i="15"/>
  <c r="M6" i="2" l="1"/>
  <c r="Q108" i="13"/>
  <c r="AK64" i="1"/>
  <c r="AK62" i="1"/>
  <c r="AK60" i="1"/>
  <c r="AK58" i="1"/>
  <c r="AK61" i="1"/>
  <c r="AK65" i="1"/>
  <c r="AK63" i="1"/>
  <c r="AK59" i="1"/>
  <c r="O103" i="13"/>
  <c r="AI22" i="26" s="1"/>
  <c r="AI24" i="26" s="1"/>
  <c r="O36" i="14"/>
  <c r="W4" i="15"/>
  <c r="AK21" i="26" l="1"/>
  <c r="N19" i="27" s="1"/>
  <c r="N24" i="27" s="1"/>
  <c r="P103" i="13"/>
  <c r="AJ22" i="26" s="1"/>
  <c r="AJ24" i="26" s="1"/>
  <c r="X4" i="15"/>
  <c r="AK43" i="26" l="1"/>
  <c r="Q103" i="13"/>
  <c r="AK22" i="26" s="1"/>
  <c r="AK24" i="26" s="1"/>
  <c r="O63" i="14"/>
  <c r="Y4" i="15"/>
  <c r="Z4" i="15" l="1"/>
  <c r="AA4" i="15" l="1"/>
  <c r="AB4" i="15" l="1"/>
  <c r="AC4" i="15" l="1"/>
  <c r="AD4" i="15" l="1"/>
  <c r="AE4" i="15" l="1"/>
  <c r="AF4" i="15" l="1"/>
  <c r="I35" i="6"/>
  <c r="AG4" i="15" l="1"/>
  <c r="AH4" i="15" l="1"/>
  <c r="E21" i="15"/>
  <c r="F21" i="15"/>
  <c r="G21" i="15"/>
  <c r="H21" i="15"/>
  <c r="AI4" i="15" l="1"/>
  <c r="AJ4" i="15" l="1"/>
  <c r="AK4" i="15" l="1"/>
  <c r="AL4" i="15" l="1"/>
  <c r="W78" i="1"/>
  <c r="V78" i="1"/>
  <c r="U78" i="1"/>
  <c r="T78" i="1"/>
  <c r="S78" i="1"/>
  <c r="R78" i="1"/>
  <c r="Q78" i="1"/>
  <c r="P78" i="1"/>
  <c r="O78" i="1"/>
  <c r="N78" i="1"/>
  <c r="M78" i="1"/>
  <c r="L78" i="1"/>
  <c r="K78" i="1"/>
  <c r="J78" i="1"/>
  <c r="I78" i="1"/>
  <c r="H78" i="1"/>
  <c r="G78" i="1"/>
  <c r="F78" i="1"/>
  <c r="E78" i="1"/>
  <c r="D78" i="1"/>
  <c r="C78" i="1"/>
  <c r="B78" i="1"/>
  <c r="W76" i="1"/>
  <c r="V76" i="1"/>
  <c r="U76" i="1"/>
  <c r="T76" i="1"/>
  <c r="S76" i="1"/>
  <c r="R76" i="1"/>
  <c r="Q76" i="1"/>
  <c r="P76" i="1"/>
  <c r="O76" i="1"/>
  <c r="N76" i="1"/>
  <c r="M76" i="1"/>
  <c r="L76" i="1"/>
  <c r="K76" i="1"/>
  <c r="J76" i="1"/>
  <c r="I76" i="1"/>
  <c r="H76" i="1"/>
  <c r="G76" i="1"/>
  <c r="F76" i="1"/>
  <c r="E76" i="1"/>
  <c r="D76" i="1"/>
  <c r="C76" i="1"/>
  <c r="B76" i="1"/>
  <c r="W75" i="1"/>
  <c r="V75" i="1"/>
  <c r="U75" i="1"/>
  <c r="T75" i="1"/>
  <c r="S75" i="1"/>
  <c r="R75" i="1"/>
  <c r="Q75" i="1"/>
  <c r="P75" i="1"/>
  <c r="O75" i="1"/>
  <c r="N75" i="1"/>
  <c r="M75" i="1"/>
  <c r="L75" i="1"/>
  <c r="K75" i="1"/>
  <c r="J75" i="1"/>
  <c r="I75" i="1"/>
  <c r="H75" i="1"/>
  <c r="G75" i="1"/>
  <c r="F75" i="1"/>
  <c r="E75" i="1"/>
  <c r="D75" i="1"/>
  <c r="C75" i="1"/>
  <c r="B75" i="1"/>
  <c r="AM4" i="15" l="1"/>
  <c r="E18" i="13"/>
  <c r="H20" i="11"/>
  <c r="J20" i="11" s="1"/>
  <c r="AN4" i="15" l="1"/>
  <c r="N6" i="15"/>
  <c r="AO4" i="15" l="1"/>
  <c r="AP4" i="15" l="1"/>
  <c r="AQ4" i="15" l="1"/>
  <c r="AR4" i="15" l="1"/>
  <c r="AS4" i="15" l="1"/>
  <c r="AT4" i="15" l="1"/>
  <c r="J65" i="1" l="1"/>
  <c r="I65" i="1"/>
  <c r="H65" i="1"/>
  <c r="G65" i="1"/>
  <c r="F65" i="1"/>
  <c r="E65" i="1"/>
  <c r="D65" i="1"/>
  <c r="C65" i="1"/>
  <c r="B65" i="1"/>
  <c r="J64" i="1"/>
  <c r="I64" i="1"/>
  <c r="H64" i="1"/>
  <c r="G64" i="1"/>
  <c r="F64" i="1"/>
  <c r="E64" i="1"/>
  <c r="D64" i="1"/>
  <c r="C64" i="1"/>
  <c r="B64" i="1"/>
  <c r="J62" i="1"/>
  <c r="I62" i="1"/>
  <c r="H62" i="1"/>
  <c r="G62" i="1"/>
  <c r="F62" i="1"/>
  <c r="E62" i="1"/>
  <c r="D62" i="1"/>
  <c r="C62" i="1"/>
  <c r="B62" i="1"/>
  <c r="J61" i="1"/>
  <c r="I61" i="1"/>
  <c r="H61" i="1"/>
  <c r="G61" i="1"/>
  <c r="F61" i="1"/>
  <c r="E61" i="1"/>
  <c r="D61" i="1"/>
  <c r="C61" i="1"/>
  <c r="B61" i="1"/>
  <c r="J60" i="1"/>
  <c r="I60" i="1"/>
  <c r="H60" i="1"/>
  <c r="G60" i="1"/>
  <c r="F60" i="1"/>
  <c r="E60" i="1"/>
  <c r="D60" i="1"/>
  <c r="C60" i="1"/>
  <c r="B60" i="1"/>
  <c r="J58" i="1"/>
  <c r="I58" i="1"/>
  <c r="H58" i="1"/>
  <c r="G58" i="1"/>
  <c r="F58" i="1"/>
  <c r="E58" i="1"/>
  <c r="D58" i="1"/>
  <c r="C58" i="1"/>
  <c r="B58" i="1"/>
  <c r="J57" i="1"/>
  <c r="I57" i="1"/>
  <c r="H57" i="1"/>
  <c r="G57" i="1"/>
  <c r="F57" i="1"/>
  <c r="E57" i="1"/>
  <c r="D57" i="1"/>
  <c r="C57" i="1"/>
  <c r="B57" i="1"/>
  <c r="J56" i="1"/>
  <c r="I56" i="1"/>
  <c r="H56" i="1"/>
  <c r="G56" i="1"/>
  <c r="F56" i="1"/>
  <c r="E56" i="1"/>
  <c r="D56" i="1"/>
  <c r="C56" i="1"/>
  <c r="B56" i="1"/>
  <c r="T56" i="1"/>
  <c r="S56" i="1"/>
  <c r="H29" i="3"/>
  <c r="G29" i="3"/>
  <c r="K56" i="1" l="1"/>
  <c r="L56" i="1"/>
  <c r="O65" i="1"/>
  <c r="O62" i="1"/>
  <c r="O60" i="1"/>
  <c r="O61" i="1"/>
  <c r="O57" i="1"/>
  <c r="O58" i="1"/>
  <c r="O64" i="1"/>
  <c r="K65" i="1"/>
  <c r="K64" i="1"/>
  <c r="K60" i="1"/>
  <c r="K61" i="1"/>
  <c r="K57" i="1"/>
  <c r="K62" i="1"/>
  <c r="K58" i="1"/>
  <c r="W65" i="1"/>
  <c r="W62" i="1"/>
  <c r="W60" i="1"/>
  <c r="W64" i="1"/>
  <c r="W61" i="1"/>
  <c r="W57" i="1"/>
  <c r="W58" i="1"/>
  <c r="L64" i="1"/>
  <c r="L65" i="1"/>
  <c r="L61" i="1"/>
  <c r="L57" i="1"/>
  <c r="L62" i="1"/>
  <c r="L58" i="1"/>
  <c r="L60" i="1"/>
  <c r="M64" i="1"/>
  <c r="M65" i="1"/>
  <c r="M62" i="1"/>
  <c r="M58" i="1"/>
  <c r="M60" i="1"/>
  <c r="M56" i="1"/>
  <c r="M61" i="1"/>
  <c r="M57" i="1"/>
  <c r="Q64" i="1"/>
  <c r="Q65" i="1"/>
  <c r="Q58" i="1"/>
  <c r="Q62" i="1"/>
  <c r="Q60" i="1"/>
  <c r="Q56" i="1"/>
  <c r="Q61" i="1"/>
  <c r="Q57" i="1"/>
  <c r="U64" i="1"/>
  <c r="U65" i="1"/>
  <c r="U58" i="1"/>
  <c r="U60" i="1"/>
  <c r="U56" i="1"/>
  <c r="U62" i="1"/>
  <c r="U61" i="1"/>
  <c r="U57" i="1"/>
  <c r="O56" i="1"/>
  <c r="W56" i="1"/>
  <c r="S65" i="1"/>
  <c r="S62" i="1"/>
  <c r="S60" i="1"/>
  <c r="S61" i="1"/>
  <c r="S57" i="1"/>
  <c r="S64" i="1"/>
  <c r="S58" i="1"/>
  <c r="P64" i="1"/>
  <c r="P61" i="1"/>
  <c r="P57" i="1"/>
  <c r="P58" i="1"/>
  <c r="P62" i="1"/>
  <c r="P65" i="1"/>
  <c r="P60" i="1"/>
  <c r="T64" i="1"/>
  <c r="T62" i="1"/>
  <c r="T61" i="1"/>
  <c r="T57" i="1"/>
  <c r="T58" i="1"/>
  <c r="T65" i="1"/>
  <c r="T60" i="1"/>
  <c r="N64" i="1"/>
  <c r="N65" i="1"/>
  <c r="N60" i="1"/>
  <c r="N56" i="1"/>
  <c r="N61" i="1"/>
  <c r="N57" i="1"/>
  <c r="N62" i="1"/>
  <c r="N58" i="1"/>
  <c r="R64" i="1"/>
  <c r="R65" i="1"/>
  <c r="R62" i="1"/>
  <c r="R60" i="1"/>
  <c r="R56" i="1"/>
  <c r="R61" i="1"/>
  <c r="R57" i="1"/>
  <c r="R58" i="1"/>
  <c r="V64" i="1"/>
  <c r="V65" i="1"/>
  <c r="V62" i="1"/>
  <c r="V60" i="1"/>
  <c r="V56" i="1"/>
  <c r="V61" i="1"/>
  <c r="V57" i="1"/>
  <c r="V58" i="1"/>
  <c r="P56" i="1"/>
  <c r="L74" i="15" l="1"/>
  <c r="C28" i="11" l="1"/>
  <c r="B28" i="11"/>
  <c r="M28" i="11"/>
  <c r="J28" i="11"/>
  <c r="I28" i="11"/>
  <c r="H28" i="11"/>
  <c r="L28" i="11"/>
  <c r="G28" i="11"/>
  <c r="F28" i="11"/>
  <c r="K28" i="11"/>
  <c r="D28" i="11"/>
  <c r="E28" i="11"/>
  <c r="N21" i="16"/>
  <c r="N22" i="16" s="1"/>
  <c r="M21" i="16"/>
  <c r="M22" i="16" s="1"/>
  <c r="L21" i="16"/>
  <c r="L22" i="16" s="1"/>
  <c r="K21" i="16"/>
  <c r="K22" i="16" s="1"/>
  <c r="J21" i="16"/>
  <c r="J22" i="16" s="1"/>
  <c r="I21" i="16"/>
  <c r="I22" i="16" s="1"/>
  <c r="H21" i="16"/>
  <c r="H22" i="16" s="1"/>
  <c r="G21" i="16"/>
  <c r="G22" i="16" s="1"/>
  <c r="F21" i="16"/>
  <c r="F22" i="16" s="1"/>
  <c r="E21" i="16"/>
  <c r="E22" i="16" s="1"/>
  <c r="D21" i="16"/>
  <c r="D22" i="16" s="1"/>
  <c r="D46" i="16"/>
  <c r="D47" i="16" s="1"/>
  <c r="E46" i="16"/>
  <c r="E47" i="16" s="1"/>
  <c r="F46" i="16"/>
  <c r="F47" i="16" s="1"/>
  <c r="G46" i="16"/>
  <c r="G47" i="16" s="1"/>
  <c r="H46" i="16"/>
  <c r="H47" i="16" s="1"/>
  <c r="I46" i="16"/>
  <c r="I47" i="16" s="1"/>
  <c r="J46" i="16"/>
  <c r="J47" i="16" s="1"/>
  <c r="K46" i="16"/>
  <c r="K47" i="16" s="1"/>
  <c r="L46" i="16"/>
  <c r="L47" i="16" s="1"/>
  <c r="M46" i="16"/>
  <c r="M47" i="16" s="1"/>
  <c r="N46" i="16"/>
  <c r="N47" i="16" s="1"/>
  <c r="N20" i="16"/>
  <c r="M20" i="16"/>
  <c r="L20" i="16"/>
  <c r="K20" i="16"/>
  <c r="J20" i="16"/>
  <c r="I20" i="16"/>
  <c r="H20" i="16"/>
  <c r="G20" i="16"/>
  <c r="F20" i="16"/>
  <c r="E20" i="16"/>
  <c r="D20" i="16"/>
  <c r="N19" i="16"/>
  <c r="M19" i="16"/>
  <c r="L19" i="16"/>
  <c r="K19" i="16"/>
  <c r="J19" i="16"/>
  <c r="I19" i="16"/>
  <c r="H19" i="16"/>
  <c r="G19" i="16"/>
  <c r="F19" i="16"/>
  <c r="E19" i="16"/>
  <c r="D19" i="16"/>
  <c r="D75" i="16"/>
  <c r="D76" i="16" s="1"/>
  <c r="E75" i="16"/>
  <c r="E76" i="16" s="1"/>
  <c r="F75" i="16"/>
  <c r="F76" i="16" s="1"/>
  <c r="G75" i="16"/>
  <c r="G76" i="16" s="1"/>
  <c r="H75" i="16"/>
  <c r="H76" i="16" s="1"/>
  <c r="I75" i="16"/>
  <c r="I76" i="16" s="1"/>
  <c r="J75" i="16"/>
  <c r="J76" i="16" s="1"/>
  <c r="K75" i="16"/>
  <c r="K76" i="16" s="1"/>
  <c r="L75" i="16"/>
  <c r="L76" i="16" s="1"/>
  <c r="M75" i="16"/>
  <c r="M76" i="16" s="1"/>
  <c r="N75" i="16"/>
  <c r="N76" i="16" s="1"/>
  <c r="N115" i="15"/>
  <c r="N116" i="15" s="1"/>
  <c r="M115" i="15"/>
  <c r="M116" i="15" s="1"/>
  <c r="L115" i="15"/>
  <c r="L116" i="15" s="1"/>
  <c r="K115" i="15"/>
  <c r="K116" i="15" s="1"/>
  <c r="J115" i="15"/>
  <c r="J116" i="15" s="1"/>
  <c r="I115" i="15"/>
  <c r="I116" i="15" s="1"/>
  <c r="H115" i="15"/>
  <c r="H116" i="15" s="1"/>
  <c r="G115" i="15"/>
  <c r="G116" i="15" s="1"/>
  <c r="F115" i="15"/>
  <c r="F116" i="15" s="1"/>
  <c r="E115" i="15"/>
  <c r="E116" i="15" s="1"/>
  <c r="D115" i="15"/>
  <c r="D116" i="15" s="1"/>
  <c r="N114" i="15"/>
  <c r="M114" i="15"/>
  <c r="L114" i="15"/>
  <c r="K114" i="15"/>
  <c r="J114" i="15"/>
  <c r="I114" i="15"/>
  <c r="H114" i="15"/>
  <c r="G114" i="15"/>
  <c r="F114" i="15"/>
  <c r="E114" i="15"/>
  <c r="D114" i="15"/>
  <c r="N113" i="15"/>
  <c r="M113" i="15"/>
  <c r="L113" i="15"/>
  <c r="K113" i="15"/>
  <c r="J113" i="15"/>
  <c r="I113" i="15"/>
  <c r="H113" i="15"/>
  <c r="G113" i="15"/>
  <c r="F113" i="15"/>
  <c r="E113" i="15"/>
  <c r="D113" i="15"/>
  <c r="N75" i="15"/>
  <c r="N76" i="15" s="1"/>
  <c r="M75" i="15"/>
  <c r="M76" i="15" s="1"/>
  <c r="L75" i="15"/>
  <c r="L76" i="15" s="1"/>
  <c r="K75" i="15"/>
  <c r="K76" i="15" s="1"/>
  <c r="J75" i="15"/>
  <c r="J76" i="15" s="1"/>
  <c r="I75" i="15"/>
  <c r="I76" i="15" s="1"/>
  <c r="H75" i="15"/>
  <c r="H76" i="15" s="1"/>
  <c r="G75" i="15"/>
  <c r="G76" i="15" s="1"/>
  <c r="F75" i="15"/>
  <c r="F76" i="15" s="1"/>
  <c r="E75" i="15"/>
  <c r="E76" i="15" s="1"/>
  <c r="D75" i="15"/>
  <c r="D76" i="15" s="1"/>
  <c r="N74" i="15"/>
  <c r="M74" i="15"/>
  <c r="K74" i="15"/>
  <c r="J74" i="15"/>
  <c r="I74" i="15"/>
  <c r="H74" i="15"/>
  <c r="G74" i="15"/>
  <c r="F74" i="15"/>
  <c r="E74" i="15"/>
  <c r="D74" i="15"/>
  <c r="N73" i="15"/>
  <c r="M73" i="15"/>
  <c r="L73" i="15"/>
  <c r="K73" i="15"/>
  <c r="J73" i="15"/>
  <c r="I73" i="15"/>
  <c r="H73" i="15"/>
  <c r="G73" i="15"/>
  <c r="F73" i="15"/>
  <c r="E73" i="15"/>
  <c r="D73" i="15"/>
  <c r="N46" i="15"/>
  <c r="N47" i="15" s="1"/>
  <c r="M46" i="15"/>
  <c r="M47" i="15" s="1"/>
  <c r="L46" i="15"/>
  <c r="L47" i="15" s="1"/>
  <c r="K46" i="15"/>
  <c r="K47" i="15" s="1"/>
  <c r="J46" i="15"/>
  <c r="J47" i="15" s="1"/>
  <c r="I46" i="15"/>
  <c r="I47" i="15" s="1"/>
  <c r="H46" i="15"/>
  <c r="H47" i="15" s="1"/>
  <c r="G46" i="15"/>
  <c r="G47" i="15" s="1"/>
  <c r="F46" i="15"/>
  <c r="F47" i="15" s="1"/>
  <c r="E46" i="15"/>
  <c r="E47" i="15" s="1"/>
  <c r="D46" i="15"/>
  <c r="D47" i="15" s="1"/>
  <c r="N45" i="15"/>
  <c r="M45" i="15"/>
  <c r="L45" i="15"/>
  <c r="K45" i="15"/>
  <c r="J45" i="15"/>
  <c r="I45" i="15"/>
  <c r="H45" i="15"/>
  <c r="G45" i="15"/>
  <c r="F45" i="15"/>
  <c r="E45" i="15"/>
  <c r="N44" i="15"/>
  <c r="M44" i="15"/>
  <c r="L44" i="15"/>
  <c r="K44" i="15"/>
  <c r="J44" i="15"/>
  <c r="I44" i="15"/>
  <c r="H44" i="15"/>
  <c r="G44" i="15"/>
  <c r="F44" i="15"/>
  <c r="E44" i="15"/>
  <c r="N22" i="15"/>
  <c r="N23" i="15" s="1"/>
  <c r="M22" i="15"/>
  <c r="M23" i="15" s="1"/>
  <c r="L22" i="15"/>
  <c r="L23" i="15" s="1"/>
  <c r="K22" i="15"/>
  <c r="K23" i="15" s="1"/>
  <c r="J22" i="15"/>
  <c r="J23" i="15" s="1"/>
  <c r="I22" i="15"/>
  <c r="I23" i="15" s="1"/>
  <c r="H22" i="15"/>
  <c r="H23" i="15" s="1"/>
  <c r="G22" i="15"/>
  <c r="G23" i="15" s="1"/>
  <c r="F22" i="15"/>
  <c r="F23" i="15" s="1"/>
  <c r="E22" i="15"/>
  <c r="E23" i="15" s="1"/>
  <c r="D22" i="15"/>
  <c r="D23" i="15" s="1"/>
  <c r="N21" i="15"/>
  <c r="M21" i="15"/>
  <c r="L21" i="15"/>
  <c r="K21" i="15"/>
  <c r="J21" i="15"/>
  <c r="I21" i="15"/>
  <c r="D21" i="15"/>
  <c r="N20" i="15"/>
  <c r="M20" i="15"/>
  <c r="L20" i="15"/>
  <c r="K20" i="15"/>
  <c r="J20" i="15"/>
  <c r="I20" i="15"/>
  <c r="H20" i="15"/>
  <c r="G20" i="15"/>
  <c r="F20" i="15"/>
  <c r="E20" i="15"/>
  <c r="D20" i="15"/>
  <c r="D96" i="14"/>
  <c r="E96" i="14"/>
  <c r="F96" i="14"/>
  <c r="G96" i="14"/>
  <c r="H96" i="14"/>
  <c r="I96" i="14"/>
  <c r="J96" i="14"/>
  <c r="K96" i="14"/>
  <c r="L96" i="14"/>
  <c r="M96" i="14"/>
  <c r="N96" i="14"/>
  <c r="D97" i="14"/>
  <c r="E97" i="14"/>
  <c r="F97" i="14"/>
  <c r="G97" i="14"/>
  <c r="H97" i="14"/>
  <c r="I97" i="14"/>
  <c r="J97" i="14"/>
  <c r="K97" i="14"/>
  <c r="L97" i="14"/>
  <c r="M97" i="14"/>
  <c r="N97" i="14"/>
  <c r="D98" i="14"/>
  <c r="D99" i="14" s="1"/>
  <c r="E98" i="14"/>
  <c r="E99" i="14" s="1"/>
  <c r="F98" i="14"/>
  <c r="F99" i="14" s="1"/>
  <c r="G98" i="14"/>
  <c r="G99" i="14" s="1"/>
  <c r="H98" i="14"/>
  <c r="H99" i="14" s="1"/>
  <c r="I98" i="14"/>
  <c r="I99" i="14" s="1"/>
  <c r="J98" i="14"/>
  <c r="J99" i="14" s="1"/>
  <c r="K98" i="14"/>
  <c r="K99" i="14" s="1"/>
  <c r="L98" i="14"/>
  <c r="L99" i="14" s="1"/>
  <c r="M98" i="14"/>
  <c r="M99" i="14" s="1"/>
  <c r="N98" i="14"/>
  <c r="N99" i="14" s="1"/>
  <c r="D63" i="14"/>
  <c r="E63" i="14"/>
  <c r="F63" i="14"/>
  <c r="G63" i="14"/>
  <c r="H63" i="14"/>
  <c r="I63" i="14"/>
  <c r="J63" i="14"/>
  <c r="K63" i="14"/>
  <c r="L63" i="14"/>
  <c r="M63" i="14"/>
  <c r="N63" i="14"/>
  <c r="D64" i="14"/>
  <c r="E64" i="14"/>
  <c r="F64" i="14"/>
  <c r="G64" i="14"/>
  <c r="H64" i="14"/>
  <c r="I64" i="14"/>
  <c r="J64" i="14"/>
  <c r="K64" i="14"/>
  <c r="L64" i="14"/>
  <c r="M64" i="14"/>
  <c r="N64" i="14"/>
  <c r="D65" i="14"/>
  <c r="D66" i="14" s="1"/>
  <c r="E65" i="14"/>
  <c r="E66" i="14" s="1"/>
  <c r="F65" i="14"/>
  <c r="F66" i="14" s="1"/>
  <c r="G65" i="14"/>
  <c r="G66" i="14" s="1"/>
  <c r="H65" i="14"/>
  <c r="H66" i="14" s="1"/>
  <c r="I65" i="14"/>
  <c r="I66" i="14" s="1"/>
  <c r="J65" i="14"/>
  <c r="J66" i="14" s="1"/>
  <c r="K65" i="14"/>
  <c r="K66" i="14" s="1"/>
  <c r="L65" i="14"/>
  <c r="L66" i="14" s="1"/>
  <c r="M65" i="14"/>
  <c r="M66" i="14" s="1"/>
  <c r="N65" i="14"/>
  <c r="N66" i="14" s="1"/>
  <c r="D14" i="14"/>
  <c r="E14" i="14"/>
  <c r="F14" i="14"/>
  <c r="G14" i="14"/>
  <c r="H14" i="14"/>
  <c r="I14" i="14"/>
  <c r="J14" i="14"/>
  <c r="K14" i="14"/>
  <c r="L14" i="14"/>
  <c r="M14" i="14"/>
  <c r="N14" i="14"/>
  <c r="D15" i="14"/>
  <c r="E15" i="14"/>
  <c r="F15" i="14"/>
  <c r="G15" i="14"/>
  <c r="H15" i="14"/>
  <c r="I15" i="14"/>
  <c r="J15" i="14"/>
  <c r="K15" i="14"/>
  <c r="L15" i="14"/>
  <c r="M15" i="14"/>
  <c r="N15" i="14"/>
  <c r="D16" i="14"/>
  <c r="D17" i="14" s="1"/>
  <c r="E16" i="14"/>
  <c r="E17" i="14" s="1"/>
  <c r="F16" i="14"/>
  <c r="F17" i="14" s="1"/>
  <c r="G16" i="14"/>
  <c r="G17" i="14" s="1"/>
  <c r="H16" i="14"/>
  <c r="H17" i="14" s="1"/>
  <c r="I16" i="14"/>
  <c r="I17" i="14" s="1"/>
  <c r="J16" i="14"/>
  <c r="J17" i="14" s="1"/>
  <c r="K16" i="14"/>
  <c r="K17" i="14" s="1"/>
  <c r="L16" i="14"/>
  <c r="L17" i="14" s="1"/>
  <c r="M16" i="14"/>
  <c r="M17" i="14" s="1"/>
  <c r="N16" i="14"/>
  <c r="N17" i="14" s="1"/>
  <c r="N38" i="14"/>
  <c r="N39" i="14" s="1"/>
  <c r="M38" i="14"/>
  <c r="M39" i="14" s="1"/>
  <c r="L38" i="14"/>
  <c r="L39" i="14" s="1"/>
  <c r="K38" i="14"/>
  <c r="K39" i="14" s="1"/>
  <c r="J38" i="14"/>
  <c r="J39" i="14" s="1"/>
  <c r="I38" i="14"/>
  <c r="I39" i="14" s="1"/>
  <c r="H38" i="14"/>
  <c r="H39" i="14" s="1"/>
  <c r="G38" i="14"/>
  <c r="G39" i="14" s="1"/>
  <c r="F38" i="14"/>
  <c r="F39" i="14" s="1"/>
  <c r="E38" i="14"/>
  <c r="E39" i="14" s="1"/>
  <c r="D38" i="14"/>
  <c r="D39" i="14" s="1"/>
  <c r="N37" i="14"/>
  <c r="M37" i="14"/>
  <c r="L37" i="14"/>
  <c r="K37" i="14"/>
  <c r="J37" i="14"/>
  <c r="I37" i="14"/>
  <c r="H37" i="14"/>
  <c r="G37" i="14"/>
  <c r="F37" i="14"/>
  <c r="E37" i="14"/>
  <c r="D37" i="14"/>
  <c r="N36" i="14"/>
  <c r="M36" i="14"/>
  <c r="L36" i="14"/>
  <c r="K36" i="14"/>
  <c r="J36" i="14"/>
  <c r="I36" i="14"/>
  <c r="H36" i="14"/>
  <c r="G36" i="14"/>
  <c r="F36" i="14"/>
  <c r="E36" i="14"/>
  <c r="D36" i="14"/>
  <c r="D73" i="16"/>
  <c r="E73" i="16"/>
  <c r="F73" i="16"/>
  <c r="G73" i="16"/>
  <c r="H73" i="16"/>
  <c r="I73" i="16"/>
  <c r="J73" i="16"/>
  <c r="K73" i="16"/>
  <c r="L73" i="16"/>
  <c r="M73" i="16"/>
  <c r="N73" i="16"/>
  <c r="D74" i="16"/>
  <c r="E74" i="16"/>
  <c r="F74" i="16"/>
  <c r="G74" i="16"/>
  <c r="H74" i="16"/>
  <c r="I74" i="16"/>
  <c r="J74" i="16"/>
  <c r="K74" i="16"/>
  <c r="L74" i="16"/>
  <c r="M74" i="16"/>
  <c r="N74" i="16"/>
  <c r="E44" i="16"/>
  <c r="F44" i="16"/>
  <c r="G44" i="16"/>
  <c r="H44" i="16"/>
  <c r="I44" i="16"/>
  <c r="J44" i="16"/>
  <c r="K44" i="16"/>
  <c r="L44" i="16"/>
  <c r="M44" i="16"/>
  <c r="N44" i="16"/>
  <c r="E45" i="16"/>
  <c r="F45" i="16"/>
  <c r="G45" i="16"/>
  <c r="H45" i="16"/>
  <c r="I45" i="16"/>
  <c r="J45" i="16"/>
  <c r="K45" i="16"/>
  <c r="L45" i="16"/>
  <c r="M45" i="16"/>
  <c r="N45" i="16"/>
  <c r="D44" i="16"/>
  <c r="D45" i="16"/>
  <c r="G15" i="15" l="1"/>
  <c r="I75" i="3" s="1"/>
  <c r="F15" i="15"/>
  <c r="H75" i="3" s="1"/>
  <c r="E15" i="15"/>
  <c r="G75" i="3" s="1"/>
  <c r="F8" i="14"/>
  <c r="G8" i="14"/>
  <c r="E8" i="14"/>
  <c r="C23" i="2" s="1"/>
  <c r="D8" i="14"/>
  <c r="B23" i="2" s="1"/>
  <c r="B22" i="2" s="1"/>
  <c r="Z41" i="1" s="1"/>
  <c r="F14" i="16"/>
  <c r="H64" i="3" s="1"/>
  <c r="E14" i="16"/>
  <c r="G64" i="3" s="1"/>
  <c r="D14" i="16"/>
  <c r="G14" i="16"/>
  <c r="I64" i="3" s="1"/>
  <c r="F11" i="3" l="1"/>
  <c r="G11" i="3"/>
  <c r="E23" i="2"/>
  <c r="I11" i="3"/>
  <c r="D23" i="2"/>
  <c r="H11" i="3"/>
  <c r="D6" i="2" l="1"/>
  <c r="G6" i="2" l="1"/>
  <c r="K6" i="2"/>
  <c r="H6" i="2"/>
  <c r="L6" i="2"/>
  <c r="E6" i="2"/>
  <c r="I6" i="2"/>
  <c r="F6" i="2"/>
  <c r="J6" i="2"/>
  <c r="E108" i="13" l="1"/>
  <c r="X64" i="1"/>
  <c r="X78" i="1"/>
  <c r="X75" i="1"/>
  <c r="X56" i="1"/>
  <c r="X65" i="1"/>
  <c r="X57" i="1"/>
  <c r="X60" i="1"/>
  <c r="X61" i="1"/>
  <c r="X62" i="1"/>
  <c r="X58" i="1"/>
  <c r="N77" i="16"/>
  <c r="M77" i="16"/>
  <c r="L77" i="16"/>
  <c r="K77" i="16"/>
  <c r="J77" i="16"/>
  <c r="I77" i="16"/>
  <c r="H77" i="16"/>
  <c r="G77" i="16"/>
  <c r="F77" i="16"/>
  <c r="E77" i="16"/>
  <c r="N48" i="16"/>
  <c r="M48" i="16"/>
  <c r="L48" i="16"/>
  <c r="K48" i="16"/>
  <c r="J48" i="16"/>
  <c r="I48" i="16"/>
  <c r="H48" i="16"/>
  <c r="G48" i="16"/>
  <c r="F48" i="16"/>
  <c r="E48" i="16"/>
  <c r="D48" i="16"/>
  <c r="N77" i="15"/>
  <c r="M77" i="15"/>
  <c r="L77" i="15"/>
  <c r="K77" i="15"/>
  <c r="J77" i="15"/>
  <c r="I77" i="15"/>
  <c r="H77" i="15"/>
  <c r="G77" i="15"/>
  <c r="F77" i="15"/>
  <c r="E77" i="15"/>
  <c r="D77" i="15"/>
  <c r="N48" i="15"/>
  <c r="M48" i="15"/>
  <c r="L48" i="15"/>
  <c r="K48" i="15"/>
  <c r="J48" i="15"/>
  <c r="I48" i="15"/>
  <c r="H48" i="15"/>
  <c r="G48" i="15"/>
  <c r="F48" i="15"/>
  <c r="E48" i="15"/>
  <c r="D48" i="15"/>
  <c r="N24" i="15"/>
  <c r="M24" i="15"/>
  <c r="L24" i="15"/>
  <c r="K24" i="15"/>
  <c r="J24" i="15"/>
  <c r="I24" i="15"/>
  <c r="H24" i="15"/>
  <c r="G24" i="15"/>
  <c r="F24" i="15"/>
  <c r="E24" i="15"/>
  <c r="D24" i="15"/>
  <c r="N67" i="14"/>
  <c r="M67" i="14"/>
  <c r="L67" i="14"/>
  <c r="K67" i="14"/>
  <c r="J67" i="14"/>
  <c r="I67" i="14"/>
  <c r="H67" i="14"/>
  <c r="G67" i="14"/>
  <c r="F67" i="14"/>
  <c r="E67" i="14"/>
  <c r="D67" i="14"/>
  <c r="N40" i="14"/>
  <c r="M40" i="14"/>
  <c r="L40" i="14"/>
  <c r="K40" i="14"/>
  <c r="J40" i="14"/>
  <c r="I40" i="14"/>
  <c r="H40" i="14"/>
  <c r="G40" i="14"/>
  <c r="F40" i="14"/>
  <c r="E40" i="14"/>
  <c r="D40" i="14"/>
  <c r="N18" i="14"/>
  <c r="M18" i="14"/>
  <c r="L18" i="14"/>
  <c r="K18" i="14"/>
  <c r="J18" i="14"/>
  <c r="I18" i="14"/>
  <c r="H18" i="14"/>
  <c r="G18" i="14"/>
  <c r="F18" i="14"/>
  <c r="E18" i="14"/>
  <c r="D18" i="14"/>
  <c r="Y44" i="1" l="1"/>
  <c r="F14" i="13"/>
  <c r="G23" i="16"/>
  <c r="K23" i="16"/>
  <c r="D23" i="16"/>
  <c r="D77" i="16"/>
  <c r="H23" i="16"/>
  <c r="L23" i="16"/>
  <c r="E23" i="16"/>
  <c r="I23" i="16"/>
  <c r="M23" i="16"/>
  <c r="F23" i="16"/>
  <c r="J23" i="16"/>
  <c r="N23" i="16"/>
  <c r="E114" i="13"/>
  <c r="I87" i="13"/>
  <c r="J87" i="13"/>
  <c r="K87" i="13"/>
  <c r="L87" i="13"/>
  <c r="M87" i="13"/>
  <c r="G100" i="14"/>
  <c r="H100" i="14"/>
  <c r="J100" i="14"/>
  <c r="N87" i="13"/>
  <c r="G87" i="13"/>
  <c r="O87" i="13"/>
  <c r="D100" i="14"/>
  <c r="H87" i="13"/>
  <c r="P87" i="13"/>
  <c r="E118" i="13"/>
  <c r="E117" i="13"/>
  <c r="D22" i="13"/>
  <c r="G14" i="13" l="1"/>
  <c r="F87" i="13"/>
  <c r="E112" i="13"/>
  <c r="F4" i="14"/>
  <c r="H8" i="3" s="1"/>
  <c r="K4" i="14"/>
  <c r="K20" i="14" s="1"/>
  <c r="G4" i="14"/>
  <c r="G69" i="14" s="1"/>
  <c r="M4" i="14"/>
  <c r="M42" i="14" s="1"/>
  <c r="N4" i="14"/>
  <c r="I4" i="14"/>
  <c r="I42" i="14" s="1"/>
  <c r="H4" i="14"/>
  <c r="H20" i="14" s="1"/>
  <c r="J4" i="14"/>
  <c r="L8" i="3" s="1"/>
  <c r="L4" i="14"/>
  <c r="L69" i="14" s="1"/>
  <c r="L25" i="13"/>
  <c r="E110" i="13"/>
  <c r="M4" i="15"/>
  <c r="L4" i="15"/>
  <c r="J4" i="15"/>
  <c r="I4" i="15"/>
  <c r="K4" i="15"/>
  <c r="H4" i="15"/>
  <c r="N4" i="15"/>
  <c r="D4" i="15"/>
  <c r="F4" i="15"/>
  <c r="G4" i="15"/>
  <c r="B25" i="11"/>
  <c r="Y62" i="1"/>
  <c r="Y60" i="1"/>
  <c r="Y64" i="1"/>
  <c r="Y58" i="1"/>
  <c r="Y65" i="1"/>
  <c r="Y61" i="1"/>
  <c r="G25" i="13"/>
  <c r="F25" i="13"/>
  <c r="E100" i="14"/>
  <c r="I25" i="13"/>
  <c r="N25" i="13"/>
  <c r="O25" i="13"/>
  <c r="J25" i="13"/>
  <c r="K25" i="13"/>
  <c r="L100" i="14"/>
  <c r="P25" i="13"/>
  <c r="N100" i="14"/>
  <c r="M100" i="14"/>
  <c r="H6" i="15"/>
  <c r="I6" i="15"/>
  <c r="K6" i="15"/>
  <c r="M25" i="13"/>
  <c r="I100" i="14"/>
  <c r="J6" i="15"/>
  <c r="G6" i="15"/>
  <c r="M6" i="15"/>
  <c r="L6" i="15"/>
  <c r="F6" i="15"/>
  <c r="K100" i="14"/>
  <c r="Y15" i="1"/>
  <c r="E4" i="15"/>
  <c r="H25" i="13"/>
  <c r="F100" i="14"/>
  <c r="M22" i="13"/>
  <c r="H22" i="13"/>
  <c r="P22" i="13"/>
  <c r="E22" i="13"/>
  <c r="I22" i="13"/>
  <c r="G22" i="13"/>
  <c r="J22" i="13"/>
  <c r="O22" i="13"/>
  <c r="K22" i="13"/>
  <c r="L22" i="13"/>
  <c r="N22" i="13"/>
  <c r="F22" i="13"/>
  <c r="N42" i="14" l="1"/>
  <c r="N20" i="14"/>
  <c r="N26" i="15"/>
  <c r="H26" i="15"/>
  <c r="K26" i="15"/>
  <c r="F50" i="15"/>
  <c r="L50" i="15"/>
  <c r="M26" i="15"/>
  <c r="I9" i="3"/>
  <c r="I79" i="15"/>
  <c r="J79" i="15"/>
  <c r="H14" i="13"/>
  <c r="E25" i="11" s="1"/>
  <c r="I69" i="14"/>
  <c r="J20" i="14"/>
  <c r="M69" i="14"/>
  <c r="G102" i="14"/>
  <c r="F69" i="14"/>
  <c r="N8" i="3"/>
  <c r="P8" i="3"/>
  <c r="K42" i="14"/>
  <c r="K8" i="3"/>
  <c r="K69" i="14"/>
  <c r="J69" i="14"/>
  <c r="M102" i="14"/>
  <c r="M8" i="3"/>
  <c r="J102" i="14"/>
  <c r="I20" i="14"/>
  <c r="M20" i="14"/>
  <c r="F20" i="14"/>
  <c r="J42" i="14"/>
  <c r="N102" i="14"/>
  <c r="O8" i="3"/>
  <c r="F42" i="14"/>
  <c r="K102" i="14"/>
  <c r="F102" i="14"/>
  <c r="L102" i="14"/>
  <c r="H69" i="14"/>
  <c r="G20" i="14"/>
  <c r="H102" i="14"/>
  <c r="L42" i="14"/>
  <c r="J8" i="3"/>
  <c r="I102" i="14"/>
  <c r="L20" i="14"/>
  <c r="G42" i="14"/>
  <c r="I8" i="3"/>
  <c r="H42" i="14"/>
  <c r="N69" i="14"/>
  <c r="D3" i="15"/>
  <c r="F12" i="3" s="1"/>
  <c r="B26" i="11"/>
  <c r="B27" i="11" s="1"/>
  <c r="C25" i="11"/>
  <c r="E3" i="15"/>
  <c r="E16" i="15" s="1"/>
  <c r="C24" i="2" s="1"/>
  <c r="C26" i="11"/>
  <c r="D25" i="11"/>
  <c r="G50" i="15"/>
  <c r="H9" i="3"/>
  <c r="G119" i="15"/>
  <c r="G79" i="15"/>
  <c r="M79" i="15"/>
  <c r="K50" i="15"/>
  <c r="N119" i="15"/>
  <c r="K119" i="15"/>
  <c r="N50" i="15"/>
  <c r="M9" i="3"/>
  <c r="H50" i="15"/>
  <c r="L79" i="15"/>
  <c r="H79" i="15"/>
  <c r="L26" i="15"/>
  <c r="N9" i="3"/>
  <c r="M119" i="15"/>
  <c r="M50" i="15"/>
  <c r="F119" i="15"/>
  <c r="O9" i="3"/>
  <c r="F26" i="15"/>
  <c r="F79" i="15"/>
  <c r="I50" i="15"/>
  <c r="K9" i="3"/>
  <c r="J26" i="15"/>
  <c r="L9" i="3"/>
  <c r="I119" i="15"/>
  <c r="P9" i="3"/>
  <c r="G26" i="15"/>
  <c r="I26" i="15"/>
  <c r="N79" i="15"/>
  <c r="J119" i="15"/>
  <c r="L119" i="15"/>
  <c r="K79" i="15"/>
  <c r="J50" i="15"/>
  <c r="J9" i="3"/>
  <c r="H119" i="15"/>
  <c r="T35" i="1"/>
  <c r="Q35" i="1"/>
  <c r="U35" i="1"/>
  <c r="V35" i="1"/>
  <c r="R35" i="1"/>
  <c r="S35" i="1"/>
  <c r="W35" i="1"/>
  <c r="H19" i="13"/>
  <c r="L19" i="13"/>
  <c r="O19" i="13"/>
  <c r="K19" i="13"/>
  <c r="G19" i="13"/>
  <c r="P19" i="13"/>
  <c r="N19" i="13"/>
  <c r="J19" i="13"/>
  <c r="F19" i="13"/>
  <c r="M19" i="13"/>
  <c r="I19" i="13"/>
  <c r="P35" i="1"/>
  <c r="O35" i="1"/>
  <c r="N35" i="1"/>
  <c r="M35" i="1"/>
  <c r="L35" i="1"/>
  <c r="K35" i="1"/>
  <c r="J35" i="1"/>
  <c r="I35" i="1"/>
  <c r="H35" i="1"/>
  <c r="G35" i="1"/>
  <c r="F35" i="1"/>
  <c r="E35" i="1"/>
  <c r="D35" i="1"/>
  <c r="C35" i="1"/>
  <c r="B35" i="1"/>
  <c r="Y19" i="1"/>
  <c r="X19" i="1"/>
  <c r="W19" i="1"/>
  <c r="V19" i="1"/>
  <c r="V63" i="1" s="1"/>
  <c r="U19" i="1"/>
  <c r="U63" i="1" s="1"/>
  <c r="T19" i="1"/>
  <c r="T63" i="1" s="1"/>
  <c r="S19" i="1"/>
  <c r="S63" i="1" s="1"/>
  <c r="R19" i="1"/>
  <c r="R63" i="1" s="1"/>
  <c r="Q19" i="1"/>
  <c r="Q63" i="1" s="1"/>
  <c r="P19" i="1"/>
  <c r="P63" i="1" s="1"/>
  <c r="O19" i="1"/>
  <c r="O63" i="1" s="1"/>
  <c r="N19" i="1"/>
  <c r="N63" i="1" s="1"/>
  <c r="M19" i="1"/>
  <c r="M63" i="1" s="1"/>
  <c r="L19" i="1"/>
  <c r="L63" i="1" s="1"/>
  <c r="K19" i="1"/>
  <c r="K63" i="1" s="1"/>
  <c r="J19" i="1"/>
  <c r="J63" i="1" s="1"/>
  <c r="I19" i="1"/>
  <c r="I63" i="1" s="1"/>
  <c r="H19" i="1"/>
  <c r="H63" i="1" s="1"/>
  <c r="G19" i="1"/>
  <c r="G63" i="1" s="1"/>
  <c r="F19" i="1"/>
  <c r="F63" i="1" s="1"/>
  <c r="E19" i="1"/>
  <c r="E63" i="1" s="1"/>
  <c r="D19" i="1"/>
  <c r="D63" i="1" s="1"/>
  <c r="C19" i="1"/>
  <c r="C63" i="1" s="1"/>
  <c r="B19" i="1"/>
  <c r="B63" i="1" s="1"/>
  <c r="W15" i="1"/>
  <c r="V15" i="1"/>
  <c r="V59" i="1" s="1"/>
  <c r="U15" i="1"/>
  <c r="T15" i="1"/>
  <c r="S15" i="1"/>
  <c r="S59" i="1" s="1"/>
  <c r="R15" i="1"/>
  <c r="Q15" i="1"/>
  <c r="P15" i="1"/>
  <c r="O15" i="1"/>
  <c r="O59" i="1" s="1"/>
  <c r="N15" i="1"/>
  <c r="N59" i="1" s="1"/>
  <c r="M15" i="1"/>
  <c r="L15" i="1"/>
  <c r="K15" i="1"/>
  <c r="K59" i="1" s="1"/>
  <c r="J15" i="1"/>
  <c r="J59" i="1" s="1"/>
  <c r="I15" i="1"/>
  <c r="H15" i="1"/>
  <c r="G15" i="1"/>
  <c r="G59" i="1" s="1"/>
  <c r="F15" i="1"/>
  <c r="E15" i="1"/>
  <c r="D15" i="1"/>
  <c r="C15" i="1"/>
  <c r="C59" i="1" s="1"/>
  <c r="B15" i="1"/>
  <c r="B59" i="1" s="1"/>
  <c r="X15" i="1"/>
  <c r="X11" i="1"/>
  <c r="W11" i="1"/>
  <c r="W55" i="1" s="1"/>
  <c r="V11" i="1"/>
  <c r="V55" i="1" s="1"/>
  <c r="U11" i="1"/>
  <c r="U55" i="1" s="1"/>
  <c r="T11" i="1"/>
  <c r="T55" i="1" s="1"/>
  <c r="S11" i="1"/>
  <c r="S55" i="1" s="1"/>
  <c r="R11" i="1"/>
  <c r="R55" i="1" s="1"/>
  <c r="Q11" i="1"/>
  <c r="Q55" i="1" s="1"/>
  <c r="P11" i="1"/>
  <c r="P55" i="1" s="1"/>
  <c r="O11" i="1"/>
  <c r="O55" i="1" s="1"/>
  <c r="N11" i="1"/>
  <c r="N55" i="1" s="1"/>
  <c r="M11" i="1"/>
  <c r="M55" i="1" s="1"/>
  <c r="L11" i="1"/>
  <c r="L55" i="1" s="1"/>
  <c r="K11" i="1"/>
  <c r="K55" i="1" s="1"/>
  <c r="J11" i="1"/>
  <c r="J55" i="1" s="1"/>
  <c r="I11" i="1"/>
  <c r="I55" i="1" s="1"/>
  <c r="H11" i="1"/>
  <c r="H55" i="1" s="1"/>
  <c r="G11" i="1"/>
  <c r="G55" i="1" s="1"/>
  <c r="F11" i="1"/>
  <c r="F55" i="1" s="1"/>
  <c r="E11" i="1"/>
  <c r="E55" i="1" s="1"/>
  <c r="D11" i="1"/>
  <c r="D55" i="1" s="1"/>
  <c r="C11" i="1"/>
  <c r="C55" i="1" s="1"/>
  <c r="X10" i="1"/>
  <c r="W10" i="1"/>
  <c r="V10" i="1"/>
  <c r="U10" i="1"/>
  <c r="T10" i="1"/>
  <c r="S10" i="1"/>
  <c r="R10" i="1"/>
  <c r="Q10" i="1"/>
  <c r="P10" i="1"/>
  <c r="O10" i="1"/>
  <c r="N10" i="1"/>
  <c r="M10" i="1"/>
  <c r="L10" i="1"/>
  <c r="K10" i="1"/>
  <c r="J10" i="1"/>
  <c r="I10" i="1"/>
  <c r="H10" i="1"/>
  <c r="G10" i="1"/>
  <c r="F10" i="1"/>
  <c r="E10" i="1"/>
  <c r="D10" i="1"/>
  <c r="C10" i="1"/>
  <c r="X9" i="1"/>
  <c r="W9" i="1"/>
  <c r="V9" i="1"/>
  <c r="U9" i="1"/>
  <c r="T9" i="1"/>
  <c r="S9" i="1"/>
  <c r="R9" i="1"/>
  <c r="Q9" i="1"/>
  <c r="P9" i="1"/>
  <c r="O9" i="1"/>
  <c r="N9" i="1"/>
  <c r="M9" i="1"/>
  <c r="L9" i="1"/>
  <c r="K9" i="1"/>
  <c r="J9" i="1"/>
  <c r="I9" i="1"/>
  <c r="H9" i="1"/>
  <c r="G9" i="1"/>
  <c r="F9" i="1"/>
  <c r="E9" i="1"/>
  <c r="D9" i="1"/>
  <c r="C9" i="1"/>
  <c r="B11" i="1"/>
  <c r="B55" i="1" s="1"/>
  <c r="B10" i="1"/>
  <c r="B9" i="1"/>
  <c r="O44" i="26" l="1"/>
  <c r="F44" i="26"/>
  <c r="J44" i="26"/>
  <c r="N44" i="26"/>
  <c r="R44" i="26"/>
  <c r="H44" i="26"/>
  <c r="P44" i="26"/>
  <c r="D44" i="26"/>
  <c r="L44" i="26"/>
  <c r="T44" i="26"/>
  <c r="V44" i="26"/>
  <c r="C44" i="26"/>
  <c r="G44" i="26"/>
  <c r="K44" i="26"/>
  <c r="S44" i="26"/>
  <c r="E44" i="26"/>
  <c r="I44" i="26"/>
  <c r="M44" i="26"/>
  <c r="Q44" i="26"/>
  <c r="U44" i="26"/>
  <c r="K8" i="1"/>
  <c r="C22" i="2"/>
  <c r="W63" i="1"/>
  <c r="W44" i="26" s="1"/>
  <c r="W59" i="1"/>
  <c r="D26" i="11"/>
  <c r="D27" i="11" s="1"/>
  <c r="D29" i="11" s="1"/>
  <c r="D15" i="2" s="1"/>
  <c r="J8" i="1"/>
  <c r="J52" i="1" s="1"/>
  <c r="S8" i="1"/>
  <c r="S52" i="1" s="1"/>
  <c r="T79" i="1"/>
  <c r="V79" i="1"/>
  <c r="R79" i="1"/>
  <c r="P79" i="1"/>
  <c r="W79" i="1"/>
  <c r="U79" i="1"/>
  <c r="S79" i="1"/>
  <c r="Q79" i="1"/>
  <c r="B29" i="11"/>
  <c r="I14" i="13"/>
  <c r="J14" i="13" s="1"/>
  <c r="K14" i="13" s="1"/>
  <c r="I3" i="15" s="1"/>
  <c r="I9" i="15" s="1"/>
  <c r="K73" i="3" s="1"/>
  <c r="F3" i="15"/>
  <c r="I7" i="3"/>
  <c r="X63" i="1"/>
  <c r="G12" i="3"/>
  <c r="C27" i="11"/>
  <c r="M7" i="3"/>
  <c r="H7" i="3"/>
  <c r="K7" i="3"/>
  <c r="L7" i="3"/>
  <c r="O7" i="3"/>
  <c r="F10" i="3"/>
  <c r="N7" i="3"/>
  <c r="J7" i="3"/>
  <c r="P7" i="3"/>
  <c r="Y63" i="1"/>
  <c r="Y44" i="26" s="1"/>
  <c r="X55" i="1"/>
  <c r="C36" i="1"/>
  <c r="C79" i="1"/>
  <c r="K36" i="1"/>
  <c r="K79" i="1"/>
  <c r="D36" i="1"/>
  <c r="D79" i="1"/>
  <c r="H36" i="1"/>
  <c r="H79" i="1"/>
  <c r="L36" i="1"/>
  <c r="L79" i="1"/>
  <c r="O36" i="1"/>
  <c r="O79" i="1"/>
  <c r="E36" i="1"/>
  <c r="E79" i="1"/>
  <c r="I36" i="1"/>
  <c r="I79" i="1"/>
  <c r="M36" i="1"/>
  <c r="M79" i="1"/>
  <c r="G36" i="1"/>
  <c r="G79" i="1"/>
  <c r="B36" i="1"/>
  <c r="B43" i="1" s="1"/>
  <c r="B79" i="1"/>
  <c r="F36" i="1"/>
  <c r="F79" i="1"/>
  <c r="J36" i="1"/>
  <c r="J79" i="1"/>
  <c r="N36" i="1"/>
  <c r="N79" i="1"/>
  <c r="X76" i="1"/>
  <c r="T36" i="1"/>
  <c r="W36" i="1"/>
  <c r="P36" i="1"/>
  <c r="S36" i="1"/>
  <c r="V36" i="1"/>
  <c r="Q36" i="1"/>
  <c r="X35" i="1"/>
  <c r="U36" i="1"/>
  <c r="R36" i="1"/>
  <c r="J25" i="1"/>
  <c r="J53" i="1"/>
  <c r="R25" i="1"/>
  <c r="R53" i="1"/>
  <c r="L26" i="1"/>
  <c r="M27" i="26" s="1"/>
  <c r="L54" i="1"/>
  <c r="T26" i="1"/>
  <c r="U27" i="26" s="1"/>
  <c r="T54" i="1"/>
  <c r="F8" i="1"/>
  <c r="F59" i="1"/>
  <c r="R8" i="1"/>
  <c r="R59" i="1"/>
  <c r="V8" i="1"/>
  <c r="C25" i="1"/>
  <c r="C69" i="1" s="1"/>
  <c r="C53" i="1"/>
  <c r="K25" i="1"/>
  <c r="K69" i="1" s="1"/>
  <c r="K53" i="1"/>
  <c r="B8" i="1"/>
  <c r="C8" i="1"/>
  <c r="N8" i="1"/>
  <c r="W8" i="1"/>
  <c r="D25" i="1"/>
  <c r="D53" i="1"/>
  <c r="H25" i="1"/>
  <c r="H53" i="1"/>
  <c r="L25" i="1"/>
  <c r="L53" i="1"/>
  <c r="P25" i="1"/>
  <c r="P69" i="1" s="1"/>
  <c r="P53" i="1"/>
  <c r="T25" i="1"/>
  <c r="T69" i="1" s="1"/>
  <c r="T53" i="1"/>
  <c r="X25" i="1"/>
  <c r="X53" i="1"/>
  <c r="F26" i="1"/>
  <c r="G27" i="26" s="1"/>
  <c r="F54" i="1"/>
  <c r="J26" i="1"/>
  <c r="K27" i="26" s="1"/>
  <c r="J54" i="1"/>
  <c r="N26" i="1"/>
  <c r="O27" i="26" s="1"/>
  <c r="N54" i="1"/>
  <c r="R26" i="1"/>
  <c r="S27" i="26" s="1"/>
  <c r="R54" i="1"/>
  <c r="V26" i="1"/>
  <c r="W27" i="26" s="1"/>
  <c r="V54" i="1"/>
  <c r="D8" i="1"/>
  <c r="D59" i="1"/>
  <c r="H8" i="1"/>
  <c r="H59" i="1"/>
  <c r="L8" i="1"/>
  <c r="L59" i="1"/>
  <c r="P8" i="1"/>
  <c r="P59" i="1"/>
  <c r="T8" i="1"/>
  <c r="T59" i="1"/>
  <c r="Y59" i="1"/>
  <c r="B26" i="1"/>
  <c r="C27" i="26" s="1"/>
  <c r="B54" i="1"/>
  <c r="J24" i="1"/>
  <c r="K25" i="26" s="1"/>
  <c r="F25" i="1"/>
  <c r="F53" i="1"/>
  <c r="N25" i="1"/>
  <c r="N53" i="1"/>
  <c r="V25" i="1"/>
  <c r="V53" i="1"/>
  <c r="D26" i="1"/>
  <c r="E27" i="26" s="1"/>
  <c r="D54" i="1"/>
  <c r="H26" i="1"/>
  <c r="I27" i="26" s="1"/>
  <c r="H54" i="1"/>
  <c r="P26" i="1"/>
  <c r="Q27" i="26" s="1"/>
  <c r="P54" i="1"/>
  <c r="X26" i="1"/>
  <c r="Y27" i="26" s="1"/>
  <c r="X54" i="1"/>
  <c r="K24" i="1"/>
  <c r="L25" i="26" s="1"/>
  <c r="K52" i="1"/>
  <c r="K6" i="1"/>
  <c r="K50" i="1" s="1"/>
  <c r="G25" i="1"/>
  <c r="G69" i="1" s="1"/>
  <c r="G53" i="1"/>
  <c r="O25" i="1"/>
  <c r="O69" i="1" s="1"/>
  <c r="O53" i="1"/>
  <c r="S25" i="1"/>
  <c r="S69" i="1" s="1"/>
  <c r="S53" i="1"/>
  <c r="W25" i="1"/>
  <c r="W69" i="1" s="1"/>
  <c r="W53" i="1"/>
  <c r="E26" i="1"/>
  <c r="F27" i="26" s="1"/>
  <c r="E54" i="1"/>
  <c r="I26" i="1"/>
  <c r="J27" i="26" s="1"/>
  <c r="I54" i="1"/>
  <c r="M26" i="1"/>
  <c r="N27" i="26" s="1"/>
  <c r="M54" i="1"/>
  <c r="Q26" i="1"/>
  <c r="R27" i="26" s="1"/>
  <c r="Q54" i="1"/>
  <c r="U26" i="1"/>
  <c r="V27" i="26" s="1"/>
  <c r="U54" i="1"/>
  <c r="B7" i="1"/>
  <c r="B51" i="1" s="1"/>
  <c r="B53" i="1"/>
  <c r="G8" i="1"/>
  <c r="O8" i="1"/>
  <c r="E7" i="1"/>
  <c r="E51" i="1" s="1"/>
  <c r="E53" i="1"/>
  <c r="I7" i="1"/>
  <c r="I51" i="1" s="1"/>
  <c r="I53" i="1"/>
  <c r="M7" i="1"/>
  <c r="M51" i="1" s="1"/>
  <c r="M53" i="1"/>
  <c r="Q7" i="1"/>
  <c r="Q51" i="1" s="1"/>
  <c r="Q53" i="1"/>
  <c r="U7" i="1"/>
  <c r="U51" i="1" s="1"/>
  <c r="U53" i="1"/>
  <c r="C7" i="1"/>
  <c r="C51" i="1" s="1"/>
  <c r="C54" i="1"/>
  <c r="G7" i="1"/>
  <c r="G51" i="1" s="1"/>
  <c r="G54" i="1"/>
  <c r="K7" i="1"/>
  <c r="K51" i="1" s="1"/>
  <c r="K54" i="1"/>
  <c r="O7" i="1"/>
  <c r="O51" i="1" s="1"/>
  <c r="O54" i="1"/>
  <c r="S7" i="1"/>
  <c r="S51" i="1" s="1"/>
  <c r="S54" i="1"/>
  <c r="W7" i="1"/>
  <c r="W51" i="1" s="1"/>
  <c r="W54" i="1"/>
  <c r="X8" i="1"/>
  <c r="X59" i="1"/>
  <c r="E8" i="1"/>
  <c r="E59" i="1"/>
  <c r="I8" i="1"/>
  <c r="I59" i="1"/>
  <c r="M8" i="1"/>
  <c r="M59" i="1"/>
  <c r="Q8" i="1"/>
  <c r="Q59" i="1"/>
  <c r="U8" i="1"/>
  <c r="U59" i="1"/>
  <c r="B25" i="1"/>
  <c r="B69" i="1" s="1"/>
  <c r="E25" i="1"/>
  <c r="I25" i="1"/>
  <c r="M25" i="1"/>
  <c r="Q25" i="1"/>
  <c r="U25" i="1"/>
  <c r="C26" i="1"/>
  <c r="D27" i="26" s="1"/>
  <c r="G26" i="1"/>
  <c r="H27" i="26" s="1"/>
  <c r="K26" i="1"/>
  <c r="L27" i="26" s="1"/>
  <c r="O26" i="1"/>
  <c r="P27" i="26" s="1"/>
  <c r="S26" i="1"/>
  <c r="T27" i="26" s="1"/>
  <c r="W26" i="1"/>
  <c r="X27" i="26" s="1"/>
  <c r="F7" i="1"/>
  <c r="F51" i="1" s="1"/>
  <c r="J7" i="1"/>
  <c r="J51" i="1" s="1"/>
  <c r="N7" i="1"/>
  <c r="N51" i="1" s="1"/>
  <c r="R7" i="1"/>
  <c r="R51" i="1" s="1"/>
  <c r="V7" i="1"/>
  <c r="V51" i="1" s="1"/>
  <c r="D7" i="1"/>
  <c r="D51" i="1" s="1"/>
  <c r="H7" i="1"/>
  <c r="H51" i="1" s="1"/>
  <c r="L7" i="1"/>
  <c r="L51" i="1" s="1"/>
  <c r="P7" i="1"/>
  <c r="P51" i="1" s="1"/>
  <c r="T7" i="1"/>
  <c r="T51" i="1" s="1"/>
  <c r="X7" i="1"/>
  <c r="X44" i="26" l="1"/>
  <c r="U43" i="1"/>
  <c r="S43" i="1"/>
  <c r="J43" i="1"/>
  <c r="M43" i="1"/>
  <c r="E43" i="1"/>
  <c r="L43" i="1"/>
  <c r="D43" i="1"/>
  <c r="C43" i="1"/>
  <c r="L26" i="26"/>
  <c r="P43" i="1"/>
  <c r="Q43" i="1"/>
  <c r="W43" i="1"/>
  <c r="N43" i="1"/>
  <c r="F43" i="1"/>
  <c r="G43" i="1"/>
  <c r="I43" i="1"/>
  <c r="O43" i="1"/>
  <c r="H43" i="1"/>
  <c r="K43" i="1"/>
  <c r="K26" i="26"/>
  <c r="R43" i="1"/>
  <c r="V43" i="1"/>
  <c r="V45" i="1" s="1"/>
  <c r="T43" i="1"/>
  <c r="J6" i="1"/>
  <c r="J50" i="1" s="1"/>
  <c r="G10" i="3"/>
  <c r="AA41" i="1"/>
  <c r="R70" i="1"/>
  <c r="R45" i="1"/>
  <c r="T45" i="1"/>
  <c r="I70" i="1"/>
  <c r="B70" i="1"/>
  <c r="B12" i="22" s="1"/>
  <c r="T70" i="1"/>
  <c r="U45" i="1"/>
  <c r="B80" i="1"/>
  <c r="B45" i="1"/>
  <c r="E45" i="1"/>
  <c r="D45" i="1"/>
  <c r="P70" i="1"/>
  <c r="P12" i="22" s="1"/>
  <c r="N70" i="1"/>
  <c r="U70" i="1"/>
  <c r="E70" i="1"/>
  <c r="E12" i="22" s="1"/>
  <c r="L70" i="1"/>
  <c r="Q45" i="1"/>
  <c r="N45" i="1"/>
  <c r="G45" i="1"/>
  <c r="O45" i="1"/>
  <c r="K45" i="1"/>
  <c r="H70" i="1"/>
  <c r="J70" i="1"/>
  <c r="Q70" i="1"/>
  <c r="S45" i="1"/>
  <c r="J45" i="1"/>
  <c r="M45" i="1"/>
  <c r="L45" i="1"/>
  <c r="C45" i="1"/>
  <c r="K68" i="1"/>
  <c r="K11" i="22" s="1"/>
  <c r="D70" i="1"/>
  <c r="V70" i="1"/>
  <c r="F70" i="1"/>
  <c r="P45" i="1"/>
  <c r="M70" i="1"/>
  <c r="W45" i="1"/>
  <c r="F45" i="1"/>
  <c r="I45" i="1"/>
  <c r="H45" i="1"/>
  <c r="F16" i="15"/>
  <c r="D24" i="2" s="1"/>
  <c r="F9" i="15"/>
  <c r="H73" i="3" s="1"/>
  <c r="S6" i="1"/>
  <c r="S50" i="1" s="1"/>
  <c r="H12" i="22"/>
  <c r="S24" i="1"/>
  <c r="G3" i="15"/>
  <c r="P23" i="1"/>
  <c r="P67" i="1" s="1"/>
  <c r="F26" i="11"/>
  <c r="E26" i="11"/>
  <c r="E27" i="11" s="1"/>
  <c r="E29" i="11" s="1"/>
  <c r="E15" i="2" s="1"/>
  <c r="F25" i="11"/>
  <c r="G25" i="11"/>
  <c r="H3" i="15"/>
  <c r="H9" i="15" s="1"/>
  <c r="J73" i="3" s="1"/>
  <c r="L14" i="13"/>
  <c r="H25" i="11"/>
  <c r="G26" i="11"/>
  <c r="X70" i="1"/>
  <c r="X69" i="1"/>
  <c r="X51" i="1"/>
  <c r="C29" i="11"/>
  <c r="Q80" i="1"/>
  <c r="W80" i="1"/>
  <c r="J80" i="1"/>
  <c r="M80" i="1"/>
  <c r="E80" i="1"/>
  <c r="L80" i="1"/>
  <c r="D80" i="1"/>
  <c r="C80" i="1"/>
  <c r="P80" i="1"/>
  <c r="R80" i="1"/>
  <c r="V80" i="1"/>
  <c r="T80" i="1"/>
  <c r="T23" i="1"/>
  <c r="T67" i="1" s="1"/>
  <c r="U80" i="1"/>
  <c r="S80" i="1"/>
  <c r="N80" i="1"/>
  <c r="F80" i="1"/>
  <c r="G80" i="1"/>
  <c r="I80" i="1"/>
  <c r="O80" i="1"/>
  <c r="H80" i="1"/>
  <c r="K80" i="1"/>
  <c r="X79" i="1"/>
  <c r="X36" i="1"/>
  <c r="K22" i="1"/>
  <c r="K66" i="1" s="1"/>
  <c r="K70" i="1"/>
  <c r="M23" i="1"/>
  <c r="M67" i="1" s="1"/>
  <c r="M69" i="1"/>
  <c r="W70" i="1"/>
  <c r="I24" i="1"/>
  <c r="I6" i="1"/>
  <c r="I50" i="1" s="1"/>
  <c r="I52" i="1"/>
  <c r="X24" i="1"/>
  <c r="Y25" i="26" s="1"/>
  <c r="X52" i="1"/>
  <c r="X6" i="1"/>
  <c r="V23" i="1"/>
  <c r="V67" i="1" s="1"/>
  <c r="V69" i="1"/>
  <c r="L24" i="1"/>
  <c r="L6" i="1"/>
  <c r="L50" i="1" s="1"/>
  <c r="L52" i="1"/>
  <c r="D24" i="1"/>
  <c r="D6" i="1"/>
  <c r="D50" i="1" s="1"/>
  <c r="D52" i="1"/>
  <c r="W24" i="1"/>
  <c r="X25" i="26" s="1"/>
  <c r="W52" i="1"/>
  <c r="W6" i="1"/>
  <c r="W50" i="1" s="1"/>
  <c r="J23" i="1"/>
  <c r="J67" i="1" s="1"/>
  <c r="J69" i="1"/>
  <c r="S23" i="1"/>
  <c r="S67" i="1" s="1"/>
  <c r="S70" i="1"/>
  <c r="C23" i="1"/>
  <c r="C67" i="1" s="1"/>
  <c r="C70" i="1"/>
  <c r="U23" i="1"/>
  <c r="U67" i="1" s="1"/>
  <c r="U69" i="1"/>
  <c r="E23" i="1"/>
  <c r="E67" i="1" s="1"/>
  <c r="E69" i="1"/>
  <c r="B23" i="1"/>
  <c r="B67" i="1" s="1"/>
  <c r="N24" i="1"/>
  <c r="N52" i="1"/>
  <c r="N6" i="1"/>
  <c r="N50" i="1" s="1"/>
  <c r="O24" i="1"/>
  <c r="O52" i="1"/>
  <c r="O6" i="1"/>
  <c r="O50" i="1" s="1"/>
  <c r="B24" i="1"/>
  <c r="B6" i="1"/>
  <c r="B50" i="1" s="1"/>
  <c r="B52" i="1"/>
  <c r="G70" i="1"/>
  <c r="I23" i="1"/>
  <c r="I67" i="1" s="1"/>
  <c r="I69" i="1"/>
  <c r="Q24" i="1"/>
  <c r="Q52" i="1"/>
  <c r="Q6" i="1"/>
  <c r="Q50" i="1" s="1"/>
  <c r="G24" i="1"/>
  <c r="G6" i="1"/>
  <c r="G50" i="1" s="1"/>
  <c r="G52" i="1"/>
  <c r="F23" i="1"/>
  <c r="F67" i="1" s="1"/>
  <c r="F69" i="1"/>
  <c r="T24" i="1"/>
  <c r="T6" i="1"/>
  <c r="T50" i="1" s="1"/>
  <c r="T52" i="1"/>
  <c r="H23" i="1"/>
  <c r="H67" i="1" s="1"/>
  <c r="H69" i="1"/>
  <c r="R24" i="1"/>
  <c r="R52" i="1"/>
  <c r="R6" i="1"/>
  <c r="R50" i="1" s="1"/>
  <c r="O70" i="1"/>
  <c r="Q23" i="1"/>
  <c r="Q67" i="1" s="1"/>
  <c r="Q69" i="1"/>
  <c r="X23" i="1"/>
  <c r="U24" i="1"/>
  <c r="U52" i="1"/>
  <c r="U6" i="1"/>
  <c r="U50" i="1" s="1"/>
  <c r="M24" i="1"/>
  <c r="M52" i="1"/>
  <c r="M6" i="1"/>
  <c r="M50" i="1" s="1"/>
  <c r="E24" i="1"/>
  <c r="E6" i="1"/>
  <c r="E50" i="1" s="1"/>
  <c r="E52" i="1"/>
  <c r="N23" i="1"/>
  <c r="N67" i="1" s="1"/>
  <c r="N69" i="1"/>
  <c r="J22" i="1"/>
  <c r="J66" i="1" s="1"/>
  <c r="J68" i="1"/>
  <c r="J11" i="22" s="1"/>
  <c r="P24" i="1"/>
  <c r="P6" i="1"/>
  <c r="P50" i="1" s="1"/>
  <c r="P52" i="1"/>
  <c r="H24" i="1"/>
  <c r="H52" i="1"/>
  <c r="H6" i="1"/>
  <c r="H50" i="1" s="1"/>
  <c r="L23" i="1"/>
  <c r="L67" i="1" s="1"/>
  <c r="L69" i="1"/>
  <c r="D23" i="1"/>
  <c r="D67" i="1" s="1"/>
  <c r="D69" i="1"/>
  <c r="C24" i="1"/>
  <c r="C52" i="1"/>
  <c r="C6" i="1"/>
  <c r="C50" i="1" s="1"/>
  <c r="V24" i="1"/>
  <c r="V52" i="1"/>
  <c r="V6" i="1"/>
  <c r="V50" i="1" s="1"/>
  <c r="F24" i="1"/>
  <c r="F52" i="1"/>
  <c r="F6" i="1"/>
  <c r="F50" i="1" s="1"/>
  <c r="R23" i="1"/>
  <c r="R67" i="1" s="1"/>
  <c r="R69" i="1"/>
  <c r="O23" i="1"/>
  <c r="O67" i="1" s="1"/>
  <c r="W23" i="1"/>
  <c r="W67" i="1" s="1"/>
  <c r="K23" i="1"/>
  <c r="K67" i="1" s="1"/>
  <c r="G23" i="1"/>
  <c r="G67" i="1" s="1"/>
  <c r="K20" i="26" l="1"/>
  <c r="L41" i="26" s="1"/>
  <c r="I25" i="26"/>
  <c r="I26" i="26"/>
  <c r="U25" i="26"/>
  <c r="U26" i="26"/>
  <c r="R25" i="26"/>
  <c r="R26" i="26"/>
  <c r="H25" i="26"/>
  <c r="H26" i="26"/>
  <c r="P25" i="26"/>
  <c r="P26" i="26"/>
  <c r="E25" i="26"/>
  <c r="E26" i="26"/>
  <c r="W25" i="26"/>
  <c r="W26" i="26"/>
  <c r="F25" i="26"/>
  <c r="F26" i="26"/>
  <c r="C25" i="26"/>
  <c r="C26" i="26"/>
  <c r="X43" i="1"/>
  <c r="X45" i="1" s="1"/>
  <c r="Q12" i="22"/>
  <c r="N12" i="22"/>
  <c r="R12" i="22"/>
  <c r="L28" i="26"/>
  <c r="L39" i="26" s="1"/>
  <c r="G25" i="26"/>
  <c r="G26" i="26"/>
  <c r="Q25" i="26"/>
  <c r="Q26" i="26"/>
  <c r="S25" i="26"/>
  <c r="S26" i="26"/>
  <c r="F12" i="22"/>
  <c r="L12" i="22"/>
  <c r="I12" i="22"/>
  <c r="M25" i="26"/>
  <c r="M26" i="26"/>
  <c r="J25" i="26"/>
  <c r="J26" i="26"/>
  <c r="T25" i="26"/>
  <c r="T26" i="26"/>
  <c r="M12" i="22"/>
  <c r="V12" i="22"/>
  <c r="J12" i="22"/>
  <c r="J20" i="26"/>
  <c r="K28" i="26"/>
  <c r="K39" i="26" s="1"/>
  <c r="X26" i="26"/>
  <c r="V25" i="26"/>
  <c r="V26" i="26"/>
  <c r="O25" i="26"/>
  <c r="O26" i="26"/>
  <c r="D25" i="26"/>
  <c r="D26" i="26"/>
  <c r="N25" i="26"/>
  <c r="N26" i="26"/>
  <c r="D12" i="22"/>
  <c r="U12" i="22"/>
  <c r="T12" i="22"/>
  <c r="K42" i="26"/>
  <c r="K40" i="26"/>
  <c r="K41" i="26"/>
  <c r="L42" i="26"/>
  <c r="L40" i="26"/>
  <c r="K37" i="26"/>
  <c r="B14" i="2"/>
  <c r="F37" i="3"/>
  <c r="D22" i="2"/>
  <c r="C68" i="1"/>
  <c r="C11" i="22" s="1"/>
  <c r="G68" i="1"/>
  <c r="G11" i="22" s="1"/>
  <c r="O68" i="1"/>
  <c r="O11" i="22" s="1"/>
  <c r="W68" i="1"/>
  <c r="W11" i="22" s="1"/>
  <c r="S68" i="1"/>
  <c r="S11" i="22" s="1"/>
  <c r="H12" i="3"/>
  <c r="G16" i="15"/>
  <c r="I12" i="3" s="1"/>
  <c r="G9" i="15"/>
  <c r="I73" i="3" s="1"/>
  <c r="F27" i="11"/>
  <c r="F29" i="11" s="1"/>
  <c r="F15" i="2" s="1"/>
  <c r="S22" i="1"/>
  <c r="T28" i="26" s="1"/>
  <c r="X12" i="22"/>
  <c r="C12" i="22"/>
  <c r="G12" i="22"/>
  <c r="O12" i="22"/>
  <c r="S12" i="22"/>
  <c r="K12" i="22"/>
  <c r="W12" i="22"/>
  <c r="J10" i="22"/>
  <c r="J13" i="22" s="1"/>
  <c r="K10" i="22"/>
  <c r="K13" i="22" s="1"/>
  <c r="G27" i="11"/>
  <c r="G29" i="11" s="1"/>
  <c r="G15" i="2" s="1"/>
  <c r="I25" i="11"/>
  <c r="M14" i="13"/>
  <c r="K3" i="15" s="1"/>
  <c r="K9" i="15" s="1"/>
  <c r="M73" i="3" s="1"/>
  <c r="H26" i="11"/>
  <c r="H27" i="11" s="1"/>
  <c r="H29" i="11" s="1"/>
  <c r="H15" i="2" s="1"/>
  <c r="X50" i="1"/>
  <c r="X67" i="1"/>
  <c r="O22" i="1"/>
  <c r="P28" i="26" s="1"/>
  <c r="G22" i="1"/>
  <c r="H28" i="26" s="1"/>
  <c r="X80" i="1"/>
  <c r="C22" i="1"/>
  <c r="D28" i="26" s="1"/>
  <c r="J3" i="15"/>
  <c r="J9" i="15" s="1"/>
  <c r="L73" i="3" s="1"/>
  <c r="B68" i="1"/>
  <c r="B11" i="22" s="1"/>
  <c r="B22" i="1"/>
  <c r="C28" i="26" s="1"/>
  <c r="L68" i="1"/>
  <c r="L11" i="22" s="1"/>
  <c r="L22" i="1"/>
  <c r="M28" i="26" s="1"/>
  <c r="R68" i="1"/>
  <c r="R11" i="22" s="1"/>
  <c r="R22" i="1"/>
  <c r="S28" i="26" s="1"/>
  <c r="Q68" i="1"/>
  <c r="Q11" i="22" s="1"/>
  <c r="Q22" i="1"/>
  <c r="R28" i="26" s="1"/>
  <c r="T68" i="1"/>
  <c r="T11" i="22" s="1"/>
  <c r="T22" i="1"/>
  <c r="U28" i="26" s="1"/>
  <c r="W22" i="1"/>
  <c r="W66" i="1" s="1"/>
  <c r="W20" i="26" s="1"/>
  <c r="H68" i="1"/>
  <c r="H11" i="22" s="1"/>
  <c r="H22" i="1"/>
  <c r="I28" i="26" s="1"/>
  <c r="X22" i="1"/>
  <c r="X68" i="1"/>
  <c r="X11" i="22" s="1"/>
  <c r="U68" i="1"/>
  <c r="U11" i="22" s="1"/>
  <c r="U22" i="1"/>
  <c r="V28" i="26" s="1"/>
  <c r="N22" i="1"/>
  <c r="O28" i="26" s="1"/>
  <c r="N68" i="1"/>
  <c r="N11" i="22" s="1"/>
  <c r="D68" i="1"/>
  <c r="D11" i="22" s="1"/>
  <c r="D22" i="1"/>
  <c r="E28" i="26" s="1"/>
  <c r="V68" i="1"/>
  <c r="V11" i="22" s="1"/>
  <c r="V22" i="1"/>
  <c r="W28" i="26" s="1"/>
  <c r="M68" i="1"/>
  <c r="M11" i="22" s="1"/>
  <c r="M22" i="1"/>
  <c r="N28" i="26" s="1"/>
  <c r="F68" i="1"/>
  <c r="F11" i="22" s="1"/>
  <c r="F22" i="1"/>
  <c r="G28" i="26" s="1"/>
  <c r="P68" i="1"/>
  <c r="P11" i="22" s="1"/>
  <c r="P22" i="1"/>
  <c r="Q28" i="26" s="1"/>
  <c r="E68" i="1"/>
  <c r="E11" i="22" s="1"/>
  <c r="E22" i="1"/>
  <c r="F28" i="26" s="1"/>
  <c r="I68" i="1"/>
  <c r="I11" i="22" s="1"/>
  <c r="I22" i="1"/>
  <c r="J28" i="26" s="1"/>
  <c r="X28" i="26" l="1"/>
  <c r="X39" i="26" s="1"/>
  <c r="X42" i="26"/>
  <c r="X40" i="26"/>
  <c r="K45" i="26"/>
  <c r="H10" i="3"/>
  <c r="I10" i="3"/>
  <c r="AB41" i="1"/>
  <c r="E24" i="2"/>
  <c r="S66" i="1"/>
  <c r="S20" i="26" s="1"/>
  <c r="G66" i="1"/>
  <c r="G20" i="26" s="1"/>
  <c r="O66" i="1"/>
  <c r="O20" i="26" s="1"/>
  <c r="X41" i="26"/>
  <c r="W10" i="22"/>
  <c r="W13" i="22" s="1"/>
  <c r="F5" i="25"/>
  <c r="F24" i="25" s="1"/>
  <c r="F5" i="16"/>
  <c r="G5" i="25"/>
  <c r="G5" i="16"/>
  <c r="N14" i="13"/>
  <c r="J25" i="11"/>
  <c r="I26" i="11"/>
  <c r="I27" i="11" s="1"/>
  <c r="I29" i="11" s="1"/>
  <c r="I15" i="2" s="1"/>
  <c r="F25" i="16"/>
  <c r="H19" i="3"/>
  <c r="G25" i="16"/>
  <c r="I19" i="3"/>
  <c r="X66" i="1"/>
  <c r="Q66" i="1"/>
  <c r="Q20" i="26" s="1"/>
  <c r="L66" i="1"/>
  <c r="L20" i="26" s="1"/>
  <c r="E66" i="1"/>
  <c r="E20" i="26" s="1"/>
  <c r="F66" i="1"/>
  <c r="F20" i="26" s="1"/>
  <c r="V66" i="1"/>
  <c r="T66" i="1"/>
  <c r="T20" i="26" s="1"/>
  <c r="R66" i="1"/>
  <c r="R20" i="26" s="1"/>
  <c r="B66" i="1"/>
  <c r="B20" i="26" s="1"/>
  <c r="I66" i="1"/>
  <c r="I20" i="26" s="1"/>
  <c r="P66" i="1"/>
  <c r="P20" i="26" s="1"/>
  <c r="M66" i="1"/>
  <c r="M20" i="26" s="1"/>
  <c r="D66" i="1"/>
  <c r="D20" i="26" s="1"/>
  <c r="U66" i="1"/>
  <c r="U20" i="26" s="1"/>
  <c r="H66" i="1"/>
  <c r="H20" i="26" s="1"/>
  <c r="N66" i="1"/>
  <c r="N20" i="26" s="1"/>
  <c r="C66" i="1"/>
  <c r="C20" i="26" s="1"/>
  <c r="X20" i="26" l="1"/>
  <c r="B28" i="27"/>
  <c r="W37" i="26"/>
  <c r="V20" i="26"/>
  <c r="W41" i="26" s="1"/>
  <c r="E42" i="26"/>
  <c r="E40" i="26"/>
  <c r="E39" i="26"/>
  <c r="D37" i="26"/>
  <c r="F37" i="26"/>
  <c r="G42" i="26"/>
  <c r="G40" i="26"/>
  <c r="G39" i="26"/>
  <c r="Y42" i="26"/>
  <c r="Y40" i="26"/>
  <c r="X37" i="26"/>
  <c r="X45" i="26" s="1"/>
  <c r="N37" i="26"/>
  <c r="O42" i="26"/>
  <c r="O40" i="26"/>
  <c r="O39" i="26"/>
  <c r="N42" i="26"/>
  <c r="N40" i="26"/>
  <c r="N39" i="26"/>
  <c r="M37" i="26"/>
  <c r="F42" i="26"/>
  <c r="F40" i="26"/>
  <c r="F39" i="26"/>
  <c r="E37" i="26"/>
  <c r="I42" i="26"/>
  <c r="I40" i="26"/>
  <c r="I39" i="26"/>
  <c r="H37" i="26"/>
  <c r="Q42" i="26"/>
  <c r="Q40" i="26"/>
  <c r="Q39" i="26"/>
  <c r="P37" i="26"/>
  <c r="U42" i="26"/>
  <c r="U40" i="26"/>
  <c r="U39" i="26"/>
  <c r="T37" i="26"/>
  <c r="M42" i="26"/>
  <c r="M40" i="26"/>
  <c r="M39" i="26"/>
  <c r="L37" i="26"/>
  <c r="L45" i="26" s="1"/>
  <c r="C42" i="26"/>
  <c r="C40" i="26"/>
  <c r="C39" i="26"/>
  <c r="V42" i="26"/>
  <c r="V40" i="26"/>
  <c r="V39" i="26"/>
  <c r="U37" i="26"/>
  <c r="J42" i="26"/>
  <c r="J40" i="26"/>
  <c r="J39" i="26"/>
  <c r="I37" i="26"/>
  <c r="J37" i="26"/>
  <c r="V37" i="26"/>
  <c r="W42" i="26"/>
  <c r="W40" i="26"/>
  <c r="W39" i="26"/>
  <c r="R42" i="26"/>
  <c r="R40" i="26"/>
  <c r="R39" i="26"/>
  <c r="Q37" i="26"/>
  <c r="P42" i="26"/>
  <c r="P40" i="26"/>
  <c r="P39" i="26"/>
  <c r="O37" i="26"/>
  <c r="D42" i="26"/>
  <c r="D40" i="26"/>
  <c r="D39" i="26"/>
  <c r="C37" i="26"/>
  <c r="R37" i="26"/>
  <c r="S42" i="26"/>
  <c r="S40" i="26"/>
  <c r="S39" i="26"/>
  <c r="H42" i="26"/>
  <c r="H40" i="26"/>
  <c r="H39" i="26"/>
  <c r="G37" i="26"/>
  <c r="T42" i="26"/>
  <c r="T40" i="26"/>
  <c r="T39" i="26"/>
  <c r="S37" i="26"/>
  <c r="S10" i="22"/>
  <c r="S13" i="22" s="1"/>
  <c r="G10" i="22"/>
  <c r="G13" i="22" s="1"/>
  <c r="T41" i="26"/>
  <c r="E22" i="2"/>
  <c r="P41" i="26"/>
  <c r="H41" i="26"/>
  <c r="O10" i="22"/>
  <c r="O13" i="22" s="1"/>
  <c r="V41" i="26"/>
  <c r="C41" i="26"/>
  <c r="E41" i="26"/>
  <c r="G41" i="26"/>
  <c r="O41" i="26"/>
  <c r="N41" i="26"/>
  <c r="S41" i="26"/>
  <c r="F41" i="26"/>
  <c r="J41" i="26"/>
  <c r="D41" i="26"/>
  <c r="I41" i="26"/>
  <c r="Q41" i="26"/>
  <c r="U41" i="26"/>
  <c r="M41" i="26"/>
  <c r="R41" i="26"/>
  <c r="Y41" i="26"/>
  <c r="B10" i="22"/>
  <c r="B13" i="22" s="1"/>
  <c r="C10" i="22"/>
  <c r="C13" i="22" s="1"/>
  <c r="D10" i="22"/>
  <c r="D13" i="22" s="1"/>
  <c r="F10" i="22"/>
  <c r="F13" i="22" s="1"/>
  <c r="M10" i="22"/>
  <c r="M13" i="22" s="1"/>
  <c r="R10" i="22"/>
  <c r="R13" i="22" s="1"/>
  <c r="H10" i="22"/>
  <c r="H13" i="22" s="1"/>
  <c r="P10" i="22"/>
  <c r="P13" i="22" s="1"/>
  <c r="T10" i="22"/>
  <c r="T13" i="22" s="1"/>
  <c r="L10" i="22"/>
  <c r="L13" i="22" s="1"/>
  <c r="N10" i="22"/>
  <c r="N13" i="22" s="1"/>
  <c r="E10" i="22"/>
  <c r="E13" i="22" s="1"/>
  <c r="U10" i="22"/>
  <c r="U13" i="22" s="1"/>
  <c r="I10" i="22"/>
  <c r="I13" i="22" s="1"/>
  <c r="V10" i="22"/>
  <c r="V13" i="22" s="1"/>
  <c r="Q10" i="22"/>
  <c r="Q13" i="22" s="1"/>
  <c r="I21" i="3"/>
  <c r="G108" i="25"/>
  <c r="G71" i="25"/>
  <c r="H5" i="25"/>
  <c r="H5" i="16"/>
  <c r="H20" i="3"/>
  <c r="F79" i="16"/>
  <c r="I20" i="3"/>
  <c r="G79" i="16"/>
  <c r="H21" i="3"/>
  <c r="F108" i="25"/>
  <c r="F71" i="25"/>
  <c r="F45" i="25"/>
  <c r="F8" i="25"/>
  <c r="G45" i="25"/>
  <c r="G8" i="25"/>
  <c r="K25" i="11"/>
  <c r="O14" i="13"/>
  <c r="J26" i="11"/>
  <c r="J27" i="11" s="1"/>
  <c r="J29" i="11" s="1"/>
  <c r="J15" i="2" s="1"/>
  <c r="G50" i="16"/>
  <c r="F50" i="16"/>
  <c r="J19" i="3"/>
  <c r="H25" i="16"/>
  <c r="X10" i="22"/>
  <c r="X13" i="22" s="1"/>
  <c r="L3" i="15"/>
  <c r="L9" i="15" s="1"/>
  <c r="N73" i="3" s="1"/>
  <c r="W45" i="26" l="1"/>
  <c r="I45" i="26"/>
  <c r="U45" i="26"/>
  <c r="R45" i="26"/>
  <c r="V45" i="26"/>
  <c r="N45" i="26"/>
  <c r="F45" i="26"/>
  <c r="S45" i="26"/>
  <c r="G45" i="26"/>
  <c r="C45" i="26"/>
  <c r="O45" i="26"/>
  <c r="Q45" i="26"/>
  <c r="J45" i="26"/>
  <c r="T45" i="26"/>
  <c r="P45" i="26"/>
  <c r="H45" i="26"/>
  <c r="E45" i="26"/>
  <c r="M45" i="26"/>
  <c r="D45" i="26"/>
  <c r="AC41" i="1"/>
  <c r="J21" i="3"/>
  <c r="H108" i="25"/>
  <c r="H71" i="25"/>
  <c r="J20" i="3"/>
  <c r="H79" i="16"/>
  <c r="H45" i="25"/>
  <c r="P14" i="13"/>
  <c r="M25" i="11" s="1"/>
  <c r="L25" i="11"/>
  <c r="K26" i="11"/>
  <c r="K27" i="11" s="1"/>
  <c r="K29" i="11" s="1"/>
  <c r="K15" i="2" s="1"/>
  <c r="H50" i="16"/>
  <c r="M3" i="15"/>
  <c r="M9" i="15" s="1"/>
  <c r="O73" i="3" s="1"/>
  <c r="Q14" i="13" l="1"/>
  <c r="L26" i="11"/>
  <c r="L27" i="11" s="1"/>
  <c r="L29" i="11" s="1"/>
  <c r="L15" i="2" s="1"/>
  <c r="N3" i="15"/>
  <c r="N9" i="15" l="1"/>
  <c r="P73" i="3" s="1"/>
  <c r="M26" i="11"/>
  <c r="M27" i="11" s="1"/>
  <c r="M29" i="11" s="1"/>
  <c r="O3" i="15"/>
  <c r="O9" i="15" s="1"/>
  <c r="Q73" i="3" s="1"/>
  <c r="R14" i="13"/>
  <c r="M15" i="2" l="1"/>
  <c r="S14" i="13"/>
  <c r="P3" i="15"/>
  <c r="H37" i="3"/>
  <c r="J37" i="3"/>
  <c r="G37" i="3"/>
  <c r="O37" i="3"/>
  <c r="M37" i="3"/>
  <c r="P37" i="3"/>
  <c r="K37" i="3"/>
  <c r="I37" i="3"/>
  <c r="L37" i="3"/>
  <c r="N37" i="3"/>
  <c r="Q37" i="3" l="1"/>
  <c r="T14" i="13"/>
  <c r="Q3" i="15"/>
  <c r="I33" i="14"/>
  <c r="D33" i="14"/>
  <c r="J33" i="14"/>
  <c r="M33" i="14"/>
  <c r="F33" i="14"/>
  <c r="N33" i="14"/>
  <c r="E33" i="14"/>
  <c r="L33" i="14"/>
  <c r="K33" i="14"/>
  <c r="H33" i="14"/>
  <c r="G33" i="14"/>
  <c r="U14" i="13" l="1"/>
  <c r="R3" i="15"/>
  <c r="E66" i="3"/>
  <c r="V14" i="13" l="1"/>
  <c r="S3" i="15"/>
  <c r="Y78" i="1"/>
  <c r="Y75" i="1"/>
  <c r="W14" i="13" l="1"/>
  <c r="T3" i="15"/>
  <c r="X14" i="13" l="1"/>
  <c r="U3" i="15"/>
  <c r="D60" i="14"/>
  <c r="D7" i="14" s="1"/>
  <c r="D140" i="14"/>
  <c r="D109" i="15"/>
  <c r="D92" i="14"/>
  <c r="D41" i="15"/>
  <c r="D159" i="15"/>
  <c r="D12" i="15" l="1"/>
  <c r="Y14" i="13"/>
  <c r="V3" i="15"/>
  <c r="Z14" i="13" l="1"/>
  <c r="W3" i="15"/>
  <c r="E140" i="14"/>
  <c r="E60" i="14"/>
  <c r="E41" i="15"/>
  <c r="E92" i="14"/>
  <c r="E159" i="15"/>
  <c r="E109" i="15"/>
  <c r="E70" i="15"/>
  <c r="E7" i="14" l="1"/>
  <c r="E12" i="15"/>
  <c r="AA14" i="13"/>
  <c r="X3" i="15"/>
  <c r="AB14" i="13" l="1"/>
  <c r="Y3" i="15"/>
  <c r="F159" i="15"/>
  <c r="F70" i="15"/>
  <c r="F140" i="14"/>
  <c r="F92" i="14"/>
  <c r="F60" i="14"/>
  <c r="F109" i="15"/>
  <c r="F41" i="15"/>
  <c r="F7" i="14" l="1"/>
  <c r="F12" i="15"/>
  <c r="AC14" i="13"/>
  <c r="Z3" i="15"/>
  <c r="AD14" i="13" l="1"/>
  <c r="AA3" i="15"/>
  <c r="G60" i="14"/>
  <c r="G7" i="14" s="1"/>
  <c r="G159" i="15"/>
  <c r="G109" i="15"/>
  <c r="G140" i="14"/>
  <c r="G41" i="15"/>
  <c r="G70" i="15"/>
  <c r="G92" i="14"/>
  <c r="G12" i="15" l="1"/>
  <c r="AE14" i="13"/>
  <c r="AB3" i="15"/>
  <c r="AF14" i="13" l="1"/>
  <c r="AC3" i="15"/>
  <c r="H70" i="15"/>
  <c r="H41" i="15"/>
  <c r="H60" i="14"/>
  <c r="H159" i="15"/>
  <c r="H92" i="14"/>
  <c r="H109" i="15"/>
  <c r="H140" i="14"/>
  <c r="H7" i="14" l="1"/>
  <c r="H12" i="15"/>
  <c r="AG14" i="13"/>
  <c r="AD3" i="15"/>
  <c r="AH14" i="13" l="1"/>
  <c r="AE3" i="15"/>
  <c r="I60" i="14"/>
  <c r="I109" i="15"/>
  <c r="I41" i="15"/>
  <c r="I92" i="14"/>
  <c r="I70" i="15"/>
  <c r="I140" i="14"/>
  <c r="I159" i="15"/>
  <c r="I7" i="14" l="1"/>
  <c r="I12" i="15"/>
  <c r="AI14" i="13"/>
  <c r="AF3" i="15"/>
  <c r="AJ14" i="13" l="1"/>
  <c r="AG3" i="15"/>
  <c r="J41" i="15"/>
  <c r="J60" i="14"/>
  <c r="J109" i="15"/>
  <c r="J140" i="14"/>
  <c r="J70" i="15"/>
  <c r="J92" i="14"/>
  <c r="J159" i="15"/>
  <c r="J7" i="14" l="1"/>
  <c r="J12" i="15"/>
  <c r="AK14" i="13"/>
  <c r="AH3" i="15"/>
  <c r="AL14" i="13" l="1"/>
  <c r="AI3" i="15"/>
  <c r="K41" i="15"/>
  <c r="K60" i="14"/>
  <c r="K159" i="15"/>
  <c r="K140" i="14"/>
  <c r="K70" i="15"/>
  <c r="K92" i="14"/>
  <c r="K109" i="15"/>
  <c r="K7" i="14" l="1"/>
  <c r="K12" i="15"/>
  <c r="AM14" i="13"/>
  <c r="AJ3" i="15"/>
  <c r="AN14" i="13" l="1"/>
  <c r="AK3" i="15"/>
  <c r="L140" i="14"/>
  <c r="L109" i="15"/>
  <c r="L60" i="14"/>
  <c r="L159" i="15"/>
  <c r="L92" i="14"/>
  <c r="L70" i="15"/>
  <c r="L41" i="15"/>
  <c r="L7" i="14" l="1"/>
  <c r="L12" i="15"/>
  <c r="AO14" i="13"/>
  <c r="AL3" i="15"/>
  <c r="AP14" i="13" l="1"/>
  <c r="AM3" i="15"/>
  <c r="M70" i="15"/>
  <c r="M41" i="15"/>
  <c r="M92" i="14"/>
  <c r="M159" i="15"/>
  <c r="M60" i="14"/>
  <c r="M7" i="14" s="1"/>
  <c r="M109" i="15"/>
  <c r="M140" i="14"/>
  <c r="M12" i="15" l="1"/>
  <c r="AQ14" i="13"/>
  <c r="AN3" i="15"/>
  <c r="AR14" i="13" l="1"/>
  <c r="AO3" i="15"/>
  <c r="N70" i="15"/>
  <c r="N140" i="14"/>
  <c r="N159" i="15"/>
  <c r="N60" i="14"/>
  <c r="N41" i="15"/>
  <c r="N92" i="14"/>
  <c r="N109" i="15"/>
  <c r="N7" i="14" l="1"/>
  <c r="N12" i="15"/>
  <c r="AS14" i="13"/>
  <c r="AP3" i="15"/>
  <c r="AT14" i="13" l="1"/>
  <c r="AQ3" i="15"/>
  <c r="AU14" i="13" l="1"/>
  <c r="AR3" i="15"/>
  <c r="AV14" i="13" l="1"/>
  <c r="AS3" i="15"/>
  <c r="AT3" i="15" l="1"/>
  <c r="AW14" i="13"/>
  <c r="AX14" i="13" s="1"/>
  <c r="AY14" i="13" s="1"/>
  <c r="AZ14" i="13" s="1"/>
  <c r="BA14" i="13" s="1"/>
  <c r="BB14" i="13" s="1"/>
  <c r="D3" i="16" l="1"/>
  <c r="D15" i="16" l="1"/>
  <c r="B28" i="2" s="1"/>
  <c r="E3" i="16"/>
  <c r="B27" i="2" l="1"/>
  <c r="F23" i="3"/>
  <c r="E15" i="16"/>
  <c r="C28" i="2" s="1"/>
  <c r="F3" i="16"/>
  <c r="C27" i="2" l="1"/>
  <c r="Z42" i="1"/>
  <c r="G23" i="3"/>
  <c r="F22" i="3"/>
  <c r="F15" i="16"/>
  <c r="F8" i="16"/>
  <c r="H62" i="3" s="1"/>
  <c r="G3" i="16"/>
  <c r="G40" i="3"/>
  <c r="AA42" i="1" l="1"/>
  <c r="D28" i="2"/>
  <c r="H23" i="3"/>
  <c r="G15" i="16"/>
  <c r="G8" i="16"/>
  <c r="I62" i="3" s="1"/>
  <c r="G22" i="3"/>
  <c r="H40" i="3"/>
  <c r="D27" i="2" l="1"/>
  <c r="H22" i="3" s="1"/>
  <c r="E28" i="2"/>
  <c r="I23" i="3"/>
  <c r="I40" i="3"/>
  <c r="E27" i="2" l="1"/>
  <c r="I22" i="3" s="1"/>
  <c r="AB42" i="1"/>
  <c r="AC42" i="1" l="1"/>
  <c r="E65" i="3"/>
  <c r="D36" i="25" l="1"/>
  <c r="H14" i="25"/>
  <c r="D145" i="25"/>
  <c r="D62" i="25"/>
  <c r="H14" i="16"/>
  <c r="B31" i="16"/>
  <c r="B85" i="16"/>
  <c r="H8" i="14"/>
  <c r="J11" i="3" s="1"/>
  <c r="J64" i="3" l="1"/>
  <c r="D11" i="25"/>
  <c r="D12" i="25" s="1"/>
  <c r="D98" i="25"/>
  <c r="D108" i="15"/>
  <c r="H15" i="15"/>
  <c r="J75" i="3" s="1"/>
  <c r="D40" i="15"/>
  <c r="D11" i="16"/>
  <c r="D158" i="15"/>
  <c r="F23" i="2"/>
  <c r="H16" i="15" l="1"/>
  <c r="J12" i="3" s="1"/>
  <c r="F43" i="3"/>
  <c r="F42" i="3"/>
  <c r="D12" i="16"/>
  <c r="F38" i="3"/>
  <c r="F31" i="3"/>
  <c r="J10" i="3" l="1"/>
  <c r="F24" i="2"/>
  <c r="F39" i="3"/>
  <c r="F41" i="3"/>
  <c r="F40" i="3"/>
  <c r="Z34" i="1" l="1"/>
  <c r="F22" i="2"/>
  <c r="F44" i="3"/>
  <c r="Z31" i="1" l="1"/>
  <c r="AD41" i="1"/>
  <c r="Y9" i="1"/>
  <c r="Y8" i="1"/>
  <c r="Y56" i="1"/>
  <c r="F66" i="3" l="1"/>
  <c r="Y77" i="1"/>
  <c r="Y76" i="1"/>
  <c r="Y35" i="1"/>
  <c r="Y26" i="26" s="1"/>
  <c r="Y52" i="1"/>
  <c r="Y7" i="22" s="1"/>
  <c r="Y24" i="1"/>
  <c r="Y25" i="1"/>
  <c r="Y53" i="1"/>
  <c r="Y36" i="1" l="1"/>
  <c r="Y28" i="26" s="1"/>
  <c r="Y79" i="1"/>
  <c r="Y68" i="1"/>
  <c r="Y69" i="1"/>
  <c r="Y43" i="1" l="1"/>
  <c r="Y11" i="22"/>
  <c r="Y39" i="26"/>
  <c r="Y80" i="1"/>
  <c r="Y45" i="1" l="1"/>
  <c r="I29" i="3"/>
  <c r="J29" i="3" l="1"/>
  <c r="K29" i="3" l="1"/>
  <c r="L29" i="3" l="1"/>
  <c r="M29" i="3" l="1"/>
  <c r="N29" i="3" l="1"/>
  <c r="O29" i="3" l="1"/>
  <c r="P29" i="3" l="1"/>
  <c r="F118" i="13" l="1"/>
  <c r="F114" i="13"/>
  <c r="Z43" i="26"/>
  <c r="F110" i="13"/>
  <c r="F117" i="13"/>
  <c r="F112" i="13"/>
  <c r="Z89" i="1" l="1"/>
  <c r="Z75" i="1"/>
  <c r="Z86" i="1"/>
  <c r="Z85" i="1"/>
  <c r="Z59" i="1"/>
  <c r="Z58" i="1"/>
  <c r="Z61" i="1"/>
  <c r="Z60" i="1"/>
  <c r="Z62" i="1"/>
  <c r="Z63" i="1"/>
  <c r="Z44" i="26" s="1"/>
  <c r="Z65" i="1"/>
  <c r="Z64" i="1"/>
  <c r="Z78" i="1"/>
  <c r="G112" i="13"/>
  <c r="G117" i="13"/>
  <c r="G110" i="13"/>
  <c r="AA89" i="1"/>
  <c r="G114" i="13"/>
  <c r="AA43" i="26"/>
  <c r="G118" i="13"/>
  <c r="AA17" i="22" l="1"/>
  <c r="Z17" i="22"/>
  <c r="Z87" i="1"/>
  <c r="Z16" i="22"/>
  <c r="AA85" i="1"/>
  <c r="AA86" i="1"/>
  <c r="AB43" i="26"/>
  <c r="H110" i="13"/>
  <c r="H118" i="13"/>
  <c r="AB89" i="1"/>
  <c r="H112" i="13"/>
  <c r="H114" i="13"/>
  <c r="H117" i="13"/>
  <c r="AA60" i="1"/>
  <c r="AA58" i="1"/>
  <c r="AA64" i="1"/>
  <c r="AA63" i="1"/>
  <c r="AA44" i="26" s="1"/>
  <c r="AA59" i="1"/>
  <c r="AA65" i="1"/>
  <c r="AA62" i="1"/>
  <c r="AA61" i="1"/>
  <c r="AB17" i="22" l="1"/>
  <c r="AA87" i="1"/>
  <c r="AA16" i="22"/>
  <c r="AB85" i="1"/>
  <c r="AB86" i="1"/>
  <c r="AB58" i="1"/>
  <c r="AB65" i="1"/>
  <c r="AB60" i="1"/>
  <c r="AB63" i="1"/>
  <c r="AB44" i="26" s="1"/>
  <c r="AB59" i="1"/>
  <c r="AB61" i="1"/>
  <c r="AB64" i="1"/>
  <c r="AB62" i="1"/>
  <c r="AC89" i="1"/>
  <c r="I114" i="13"/>
  <c r="AC43" i="26"/>
  <c r="I117" i="13"/>
  <c r="I110" i="13"/>
  <c r="I118" i="13"/>
  <c r="I112" i="13"/>
  <c r="AC17" i="22" l="1"/>
  <c r="AB87" i="1"/>
  <c r="AB16" i="22"/>
  <c r="AC85" i="1"/>
  <c r="AC86" i="1"/>
  <c r="AD43" i="26"/>
  <c r="J117" i="13"/>
  <c r="J110" i="13"/>
  <c r="J118" i="13"/>
  <c r="J112" i="13"/>
  <c r="AD89" i="1"/>
  <c r="AC58" i="1"/>
  <c r="AC60" i="1"/>
  <c r="AC63" i="1"/>
  <c r="AC44" i="26" s="1"/>
  <c r="AC64" i="1"/>
  <c r="AC65" i="1"/>
  <c r="AC59" i="1"/>
  <c r="AC61" i="1"/>
  <c r="AC62" i="1"/>
  <c r="AD17" i="22" l="1"/>
  <c r="AC87" i="1"/>
  <c r="AC16" i="22"/>
  <c r="AD85" i="1"/>
  <c r="K112" i="13"/>
  <c r="K118" i="13"/>
  <c r="AE43" i="26"/>
  <c r="K110" i="13"/>
  <c r="K117" i="13"/>
  <c r="AE89" i="1"/>
  <c r="AD60" i="1"/>
  <c r="AD64" i="1"/>
  <c r="AD62" i="1"/>
  <c r="AD58" i="1"/>
  <c r="AD63" i="1"/>
  <c r="AD44" i="26" s="1"/>
  <c r="AD65" i="1"/>
  <c r="AE17" i="22" l="1"/>
  <c r="AF43" i="26"/>
  <c r="L118" i="13"/>
  <c r="AF89" i="1"/>
  <c r="L110" i="13"/>
  <c r="AE60" i="1"/>
  <c r="AE63" i="1"/>
  <c r="AE44" i="26" s="1"/>
  <c r="AE65" i="1"/>
  <c r="AE58" i="1"/>
  <c r="AE64" i="1"/>
  <c r="AE62" i="1"/>
  <c r="AF17" i="22" l="1"/>
  <c r="AF58" i="1"/>
  <c r="AF63" i="1"/>
  <c r="AF44" i="26" s="1"/>
  <c r="AF64" i="1"/>
  <c r="AF65" i="1"/>
  <c r="AF60" i="1"/>
  <c r="AF62" i="1"/>
  <c r="AG43" i="26"/>
  <c r="M117" i="13"/>
  <c r="M110" i="13"/>
  <c r="AG89" i="1"/>
  <c r="M112" i="13"/>
  <c r="M118" i="13"/>
  <c r="AG17" i="22" l="1"/>
  <c r="AG58" i="1"/>
  <c r="AG64" i="1"/>
  <c r="AG63" i="1"/>
  <c r="AG44" i="26" s="1"/>
  <c r="AG60" i="1"/>
  <c r="AG65" i="1"/>
  <c r="AG62" i="1"/>
  <c r="N117" i="13"/>
  <c r="AH89" i="1"/>
  <c r="N110" i="13"/>
  <c r="N118" i="13"/>
  <c r="AH43" i="26"/>
  <c r="N112" i="13"/>
  <c r="AH17" i="22" l="1"/>
  <c r="AI89" i="1"/>
  <c r="AI17" i="22" s="1"/>
  <c r="O117" i="13"/>
  <c r="AI43" i="26"/>
  <c r="O112" i="13"/>
  <c r="O118" i="13"/>
  <c r="O110" i="13"/>
  <c r="AH58" i="1"/>
  <c r="AH63" i="1"/>
  <c r="AH44" i="26" s="1"/>
  <c r="AH60" i="1"/>
  <c r="AH64" i="1"/>
  <c r="AH65" i="1"/>
  <c r="AH62" i="1"/>
  <c r="P112" i="13" l="1"/>
  <c r="AJ89" i="1"/>
  <c r="AJ17" i="22" s="1"/>
  <c r="P108" i="13"/>
  <c r="P117" i="13"/>
  <c r="P110" i="13"/>
  <c r="P118" i="13"/>
  <c r="AI58" i="1"/>
  <c r="AI64" i="1"/>
  <c r="AI60" i="1"/>
  <c r="AI65" i="1"/>
  <c r="AI62" i="1"/>
  <c r="AI63" i="1"/>
  <c r="AI44" i="26" s="1"/>
  <c r="AJ21" i="26" l="1"/>
  <c r="M19" i="27" s="1"/>
  <c r="M24" i="27" s="1"/>
  <c r="AJ60" i="1"/>
  <c r="AJ65" i="1"/>
  <c r="AJ64" i="1"/>
  <c r="AJ62" i="1"/>
  <c r="AJ58" i="1"/>
  <c r="AJ63" i="1"/>
  <c r="AJ43" i="26" l="1"/>
  <c r="AJ44" i="26"/>
  <c r="AK44" i="26"/>
  <c r="Y11" i="1"/>
  <c r="Y57" i="1"/>
  <c r="Y10" i="1"/>
  <c r="Y6" i="1" l="1"/>
  <c r="Y54" i="1"/>
  <c r="Y7" i="1"/>
  <c r="Y26" i="1"/>
  <c r="Z27" i="26" s="1"/>
  <c r="Y55" i="1"/>
  <c r="Y23" i="1" l="1"/>
  <c r="Y22" i="1"/>
  <c r="Y70" i="1"/>
  <c r="Y50" i="1"/>
  <c r="Y6" i="22" s="1"/>
  <c r="Y9" i="22" s="1"/>
  <c r="Y51" i="1"/>
  <c r="Y12" i="22" l="1"/>
  <c r="Y67" i="1"/>
  <c r="Y66" i="1"/>
  <c r="B12" i="27" s="1"/>
  <c r="C28" i="27" s="1"/>
  <c r="Y20" i="26" l="1"/>
  <c r="Z42" i="26"/>
  <c r="Z40" i="26"/>
  <c r="Y37" i="26"/>
  <c r="Y45" i="26" s="1"/>
  <c r="Z41" i="26"/>
  <c r="Y10" i="22"/>
  <c r="Y13" i="22" s="1"/>
  <c r="D69" i="15" l="1"/>
  <c r="D11" i="15" s="1"/>
  <c r="B13" i="2" s="1"/>
  <c r="B11" i="2" s="1"/>
  <c r="B7" i="2" l="1"/>
  <c r="B17" i="2" s="1"/>
  <c r="F32" i="3"/>
  <c r="F30" i="3" l="1"/>
  <c r="B19" i="2"/>
  <c r="B26" i="2" l="1"/>
  <c r="B25" i="2" s="1"/>
  <c r="B21" i="2"/>
  <c r="B20" i="2" s="1"/>
  <c r="F16" i="3" l="1"/>
  <c r="D4" i="16"/>
  <c r="F17" i="3" s="1"/>
  <c r="D4" i="25"/>
  <c r="F18" i="3" s="1"/>
  <c r="D3" i="14"/>
  <c r="D68" i="14" s="1"/>
  <c r="D5" i="15"/>
  <c r="D49" i="15" s="1"/>
  <c r="D4" i="14"/>
  <c r="D6" i="15"/>
  <c r="D5" i="25"/>
  <c r="D5" i="16"/>
  <c r="F19" i="3"/>
  <c r="D25" i="16"/>
  <c r="B40" i="2"/>
  <c r="D49" i="16" l="1"/>
  <c r="D7" i="16"/>
  <c r="D78" i="16"/>
  <c r="D24" i="16"/>
  <c r="D26" i="16" s="1"/>
  <c r="D27" i="16" s="1"/>
  <c r="D70" i="25"/>
  <c r="D44" i="25"/>
  <c r="D19" i="14"/>
  <c r="D78" i="15"/>
  <c r="D41" i="14"/>
  <c r="D7" i="25"/>
  <c r="D25" i="15"/>
  <c r="F6" i="3"/>
  <c r="D23" i="25"/>
  <c r="D107" i="25"/>
  <c r="D8" i="15"/>
  <c r="D101" i="14"/>
  <c r="F5" i="3"/>
  <c r="D118" i="15"/>
  <c r="D7" i="15"/>
  <c r="D5" i="14"/>
  <c r="D9" i="15"/>
  <c r="F73" i="3" s="1"/>
  <c r="F9" i="3"/>
  <c r="D119" i="15"/>
  <c r="D79" i="15"/>
  <c r="D50" i="15"/>
  <c r="D51" i="15" s="1"/>
  <c r="D52" i="15" s="1"/>
  <c r="D63" i="15" s="1"/>
  <c r="D26" i="15"/>
  <c r="D20" i="14"/>
  <c r="F8" i="3"/>
  <c r="D42" i="14"/>
  <c r="D43" i="14" s="1"/>
  <c r="D69" i="14"/>
  <c r="D70" i="14" s="1"/>
  <c r="D102" i="14"/>
  <c r="F20" i="3"/>
  <c r="D79" i="16"/>
  <c r="D50" i="16"/>
  <c r="D8" i="16"/>
  <c r="F25" i="3"/>
  <c r="D24" i="25"/>
  <c r="D25" i="25" s="1"/>
  <c r="D26" i="25" s="1"/>
  <c r="D71" i="25"/>
  <c r="D72" i="25" s="1"/>
  <c r="D73" i="25" s="1"/>
  <c r="D8" i="25"/>
  <c r="D45" i="25"/>
  <c r="F21" i="3"/>
  <c r="D108" i="25"/>
  <c r="D6" i="25"/>
  <c r="D9" i="25" s="1"/>
  <c r="D6" i="16"/>
  <c r="D9" i="16" s="1"/>
  <c r="D80" i="15" l="1"/>
  <c r="D81" i="15" s="1"/>
  <c r="D21" i="14"/>
  <c r="Z40" i="1"/>
  <c r="F26" i="3"/>
  <c r="D51" i="16"/>
  <c r="D52" i="16" s="1"/>
  <c r="D59" i="16" s="1"/>
  <c r="D46" i="25"/>
  <c r="D47" i="25" s="1"/>
  <c r="D51" i="25" s="1"/>
  <c r="E62" i="25" s="1"/>
  <c r="F14" i="3"/>
  <c r="D109" i="25"/>
  <c r="D110" i="25" s="1"/>
  <c r="D116" i="25" s="1"/>
  <c r="D80" i="16"/>
  <c r="D81" i="16" s="1"/>
  <c r="D89" i="16" s="1"/>
  <c r="F15" i="3"/>
  <c r="F4" i="3"/>
  <c r="D27" i="15"/>
  <c r="D28" i="15" s="1"/>
  <c r="D29" i="15" s="1"/>
  <c r="D103" i="14"/>
  <c r="D121" i="14" s="1"/>
  <c r="D120" i="15"/>
  <c r="D121" i="15" s="1"/>
  <c r="D122" i="15" s="1"/>
  <c r="F63" i="3"/>
  <c r="I8" i="14"/>
  <c r="K11" i="3" s="1"/>
  <c r="D26" i="14"/>
  <c r="E32" i="14" s="1"/>
  <c r="D81" i="14"/>
  <c r="D82" i="14"/>
  <c r="D88" i="14"/>
  <c r="D77" i="14"/>
  <c r="D79" i="14"/>
  <c r="D76" i="14"/>
  <c r="D84" i="14"/>
  <c r="D75" i="14"/>
  <c r="E91" i="14" s="1"/>
  <c r="D89" i="14"/>
  <c r="D53" i="15"/>
  <c r="D78" i="14"/>
  <c r="D85" i="14"/>
  <c r="D80" i="14"/>
  <c r="D86" i="14"/>
  <c r="D87" i="14"/>
  <c r="D10" i="15"/>
  <c r="F74" i="3" s="1"/>
  <c r="D83" i="14"/>
  <c r="D54" i="14"/>
  <c r="D51" i="14"/>
  <c r="D55" i="14"/>
  <c r="D57" i="14"/>
  <c r="D48" i="14"/>
  <c r="E59" i="14" s="1"/>
  <c r="D50" i="14"/>
  <c r="D56" i="14"/>
  <c r="D49" i="14"/>
  <c r="D52" i="14"/>
  <c r="D53" i="14"/>
  <c r="D61" i="15"/>
  <c r="D62" i="15"/>
  <c r="D67" i="15"/>
  <c r="D60" i="15"/>
  <c r="D66" i="15"/>
  <c r="D59" i="15"/>
  <c r="D65" i="15"/>
  <c r="D64" i="15"/>
  <c r="D58" i="15"/>
  <c r="E69" i="15" s="1"/>
  <c r="D82" i="15"/>
  <c r="D90" i="15"/>
  <c r="D102" i="15"/>
  <c r="D92" i="15"/>
  <c r="D94" i="15"/>
  <c r="D96" i="15"/>
  <c r="D99" i="15"/>
  <c r="D88" i="15"/>
  <c r="D105" i="15"/>
  <c r="D103" i="15"/>
  <c r="D93" i="15"/>
  <c r="D87" i="15"/>
  <c r="E108" i="15" s="1"/>
  <c r="D101" i="15"/>
  <c r="D95" i="15"/>
  <c r="D104" i="15"/>
  <c r="D106" i="15"/>
  <c r="D97" i="15"/>
  <c r="D89" i="15"/>
  <c r="D91" i="15"/>
  <c r="D100" i="15"/>
  <c r="D98" i="15"/>
  <c r="D28" i="14"/>
  <c r="D27" i="14"/>
  <c r="D30" i="14"/>
  <c r="D29" i="14"/>
  <c r="F7" i="3"/>
  <c r="F47" i="3"/>
  <c r="F69" i="3"/>
  <c r="D77" i="25"/>
  <c r="E98" i="25" s="1"/>
  <c r="D79" i="25"/>
  <c r="D78" i="25"/>
  <c r="D58" i="16"/>
  <c r="E69" i="16" s="1"/>
  <c r="D34" i="16"/>
  <c r="I14" i="16"/>
  <c r="D33" i="16"/>
  <c r="E39" i="16" s="1"/>
  <c r="D35" i="16"/>
  <c r="D31" i="25"/>
  <c r="D30" i="25"/>
  <c r="E36" i="25" s="1"/>
  <c r="I14" i="25"/>
  <c r="D32" i="25"/>
  <c r="F62" i="3"/>
  <c r="F27" i="3"/>
  <c r="D60" i="16" l="1"/>
  <c r="F59" i="3"/>
  <c r="F50" i="3"/>
  <c r="F76" i="3"/>
  <c r="D115" i="25"/>
  <c r="D53" i="25"/>
  <c r="D114" i="25"/>
  <c r="E145" i="25" s="1"/>
  <c r="E11" i="25" s="1"/>
  <c r="D52" i="25"/>
  <c r="D97" i="16"/>
  <c r="F13" i="3"/>
  <c r="D87" i="16"/>
  <c r="E118" i="16" s="1"/>
  <c r="D88" i="16"/>
  <c r="D38" i="15"/>
  <c r="D35" i="15"/>
  <c r="I15" i="15"/>
  <c r="K75" i="3" s="1"/>
  <c r="D119" i="14"/>
  <c r="D123" i="14"/>
  <c r="D133" i="14"/>
  <c r="D130" i="14"/>
  <c r="D108" i="14"/>
  <c r="E139" i="14" s="1"/>
  <c r="E6" i="14" s="1"/>
  <c r="G31" i="3" s="1"/>
  <c r="D137" i="14"/>
  <c r="D128" i="14"/>
  <c r="D34" i="15"/>
  <c r="E40" i="15" s="1"/>
  <c r="D36" i="15"/>
  <c r="D114" i="14"/>
  <c r="D110" i="14"/>
  <c r="D115" i="14"/>
  <c r="D112" i="14"/>
  <c r="D127" i="14"/>
  <c r="D117" i="14"/>
  <c r="D124" i="14"/>
  <c r="D129" i="14"/>
  <c r="D37" i="15"/>
  <c r="E13" i="15"/>
  <c r="E14" i="15" s="1"/>
  <c r="C16" i="2" s="1"/>
  <c r="C14" i="2" s="1"/>
  <c r="D139" i="15"/>
  <c r="D153" i="15"/>
  <c r="D152" i="15"/>
  <c r="D128" i="15"/>
  <c r="D151" i="15"/>
  <c r="D130" i="15"/>
  <c r="D136" i="15"/>
  <c r="D142" i="15"/>
  <c r="D154" i="15"/>
  <c r="D135" i="15"/>
  <c r="D131" i="15"/>
  <c r="D148" i="15"/>
  <c r="D137" i="15"/>
  <c r="D150" i="15"/>
  <c r="D155" i="15"/>
  <c r="D122" i="14"/>
  <c r="D125" i="14"/>
  <c r="D120" i="14"/>
  <c r="D111" i="14"/>
  <c r="D136" i="14"/>
  <c r="D126" i="14"/>
  <c r="D109" i="14"/>
  <c r="D113" i="14"/>
  <c r="D147" i="15"/>
  <c r="D146" i="15"/>
  <c r="D127" i="15"/>
  <c r="E158" i="15" s="1"/>
  <c r="D138" i="15"/>
  <c r="D145" i="15"/>
  <c r="D133" i="15"/>
  <c r="D141" i="15"/>
  <c r="D140" i="15"/>
  <c r="D132" i="14"/>
  <c r="D116" i="14"/>
  <c r="D118" i="14"/>
  <c r="D131" i="14"/>
  <c r="D134" i="14"/>
  <c r="D135" i="14"/>
  <c r="D132" i="15"/>
  <c r="D143" i="15"/>
  <c r="D149" i="15"/>
  <c r="D134" i="15"/>
  <c r="D156" i="15"/>
  <c r="D129" i="15"/>
  <c r="D144" i="15"/>
  <c r="F65" i="3"/>
  <c r="F58" i="3"/>
  <c r="G23" i="2"/>
  <c r="D72" i="14"/>
  <c r="F70" i="3"/>
  <c r="F48" i="3"/>
  <c r="D55" i="15"/>
  <c r="D45" i="14"/>
  <c r="D23" i="14"/>
  <c r="D84" i="15"/>
  <c r="Z84" i="1"/>
  <c r="F55" i="3"/>
  <c r="K64" i="3"/>
  <c r="E11" i="16"/>
  <c r="F46" i="3" l="1"/>
  <c r="Z39" i="1"/>
  <c r="Z83" i="1" s="1"/>
  <c r="F72" i="3"/>
  <c r="I16" i="15"/>
  <c r="G24" i="2" s="1"/>
  <c r="E11" i="15"/>
  <c r="G32" i="3" s="1"/>
  <c r="D31" i="15"/>
  <c r="G38" i="3"/>
  <c r="D105" i="14"/>
  <c r="D9" i="14" s="1"/>
  <c r="F34" i="3" s="1"/>
  <c r="D124" i="15"/>
  <c r="F51" i="3"/>
  <c r="G42" i="3"/>
  <c r="E12" i="16"/>
  <c r="C10" i="2"/>
  <c r="C8" i="2" s="1"/>
  <c r="G43" i="3"/>
  <c r="E12" i="25"/>
  <c r="F54" i="3"/>
  <c r="F61" i="3"/>
  <c r="G19" i="3"/>
  <c r="E25" i="16"/>
  <c r="E5" i="25"/>
  <c r="E24" i="25" s="1"/>
  <c r="E5" i="16"/>
  <c r="E50" i="16" s="1"/>
  <c r="G39" i="3" l="1"/>
  <c r="AA34" i="1" s="1"/>
  <c r="F49" i="3"/>
  <c r="K12" i="3"/>
  <c r="C13" i="2"/>
  <c r="C11" i="2" s="1"/>
  <c r="C7" i="2" s="1"/>
  <c r="C17" i="2" s="1"/>
  <c r="C19" i="2" s="1"/>
  <c r="G30" i="3"/>
  <c r="G22" i="2"/>
  <c r="F56" i="3"/>
  <c r="G41" i="3"/>
  <c r="G20" i="3"/>
  <c r="E79" i="16"/>
  <c r="G21" i="3"/>
  <c r="E45" i="25"/>
  <c r="E71" i="25"/>
  <c r="E108" i="25"/>
  <c r="E8" i="25"/>
  <c r="E8" i="16"/>
  <c r="E6" i="15"/>
  <c r="E26" i="15" s="1"/>
  <c r="E4" i="14"/>
  <c r="G8" i="3" s="1"/>
  <c r="C21" i="2" l="1"/>
  <c r="C26" i="2"/>
  <c r="C25" i="2" s="1"/>
  <c r="F53" i="3"/>
  <c r="Z12" i="1" s="1"/>
  <c r="K10" i="3"/>
  <c r="G62" i="3"/>
  <c r="AA78" i="1"/>
  <c r="AE41" i="1"/>
  <c r="G47" i="3"/>
  <c r="G44" i="3"/>
  <c r="Z13" i="1"/>
  <c r="E9" i="15"/>
  <c r="E79" i="15"/>
  <c r="G9" i="3"/>
  <c r="E119" i="15"/>
  <c r="E50" i="15"/>
  <c r="E69" i="14"/>
  <c r="E20" i="14"/>
  <c r="E42" i="14"/>
  <c r="E102" i="14"/>
  <c r="G7" i="3" l="1"/>
  <c r="G58" i="3"/>
  <c r="Z56" i="1"/>
  <c r="Z8" i="1"/>
  <c r="Z9" i="1"/>
  <c r="Z11" i="1"/>
  <c r="AE85" i="1"/>
  <c r="AA31" i="1"/>
  <c r="Z57" i="1"/>
  <c r="Z10" i="1"/>
  <c r="H47" i="3"/>
  <c r="G73" i="3"/>
  <c r="H58" i="3" l="1"/>
  <c r="G54" i="3"/>
  <c r="Z52" i="1"/>
  <c r="Z7" i="22" s="1"/>
  <c r="Z24" i="1"/>
  <c r="Z25" i="1"/>
  <c r="Z53" i="1"/>
  <c r="Z6" i="1"/>
  <c r="Z55" i="1"/>
  <c r="G69" i="3"/>
  <c r="Z54" i="1"/>
  <c r="Z8" i="22" s="1"/>
  <c r="Z26" i="1"/>
  <c r="AA27" i="26" s="1"/>
  <c r="G66" i="3"/>
  <c r="AA75" i="1"/>
  <c r="I47" i="3"/>
  <c r="Z7" i="1"/>
  <c r="H54" i="3" l="1"/>
  <c r="I58" i="3"/>
  <c r="Z69" i="1"/>
  <c r="Z68" i="1"/>
  <c r="Z11" i="22" s="1"/>
  <c r="Z50" i="1"/>
  <c r="Z6" i="22" s="1"/>
  <c r="J47" i="3"/>
  <c r="G48" i="3"/>
  <c r="H69" i="3"/>
  <c r="C40" i="2"/>
  <c r="Z70" i="1"/>
  <c r="Z23" i="1"/>
  <c r="Z51" i="1"/>
  <c r="Z22" i="1"/>
  <c r="I54" i="3" l="1"/>
  <c r="Z66" i="1"/>
  <c r="C12" i="27" s="1"/>
  <c r="D28" i="27" s="1"/>
  <c r="Z67" i="1"/>
  <c r="Z12" i="22"/>
  <c r="C20" i="2"/>
  <c r="E5" i="15" s="1"/>
  <c r="G6" i="3" s="1"/>
  <c r="H48" i="3"/>
  <c r="I69" i="3"/>
  <c r="K47" i="3"/>
  <c r="G16" i="3"/>
  <c r="E4" i="25"/>
  <c r="G18" i="3" s="1"/>
  <c r="G46" i="3"/>
  <c r="Z20" i="26" l="1"/>
  <c r="AA41" i="26" s="1"/>
  <c r="Z37" i="26"/>
  <c r="AA42" i="26"/>
  <c r="AA40" i="26"/>
  <c r="E4" i="16"/>
  <c r="G17" i="3" s="1"/>
  <c r="E3" i="14"/>
  <c r="G25" i="3"/>
  <c r="E44" i="25"/>
  <c r="E46" i="25" s="1"/>
  <c r="E47" i="25" s="1"/>
  <c r="E23" i="25"/>
  <c r="E25" i="25" s="1"/>
  <c r="E26" i="25" s="1"/>
  <c r="E70" i="25"/>
  <c r="E72" i="25" s="1"/>
  <c r="E73" i="25" s="1"/>
  <c r="E6" i="25"/>
  <c r="E9" i="25" s="1"/>
  <c r="E107" i="25"/>
  <c r="E109" i="25" s="1"/>
  <c r="E110" i="25" s="1"/>
  <c r="E7" i="25"/>
  <c r="L47" i="3"/>
  <c r="I48" i="3"/>
  <c r="J69" i="3"/>
  <c r="E25" i="15"/>
  <c r="E27" i="15" s="1"/>
  <c r="E28" i="15" s="1"/>
  <c r="E49" i="15"/>
  <c r="E51" i="15" s="1"/>
  <c r="E52" i="15" s="1"/>
  <c r="E78" i="15"/>
  <c r="E80" i="15" s="1"/>
  <c r="E81" i="15" s="1"/>
  <c r="E7" i="15"/>
  <c r="E8" i="15"/>
  <c r="E10" i="15" s="1"/>
  <c r="G74" i="3" s="1"/>
  <c r="E118" i="15"/>
  <c r="E120" i="15" s="1"/>
  <c r="E121" i="15" s="1"/>
  <c r="H46" i="3"/>
  <c r="Z10" i="22"/>
  <c r="E6" i="16" l="1"/>
  <c r="E9" i="16" s="1"/>
  <c r="E7" i="16"/>
  <c r="E78" i="16"/>
  <c r="E80" i="16" s="1"/>
  <c r="E81" i="16" s="1"/>
  <c r="E88" i="16" s="1"/>
  <c r="E24" i="16"/>
  <c r="E26" i="16" s="1"/>
  <c r="E27" i="16" s="1"/>
  <c r="J14" i="16" s="1"/>
  <c r="E49" i="16"/>
  <c r="E51" i="16" s="1"/>
  <c r="E52" i="16" s="1"/>
  <c r="E53" i="16" s="1"/>
  <c r="E5" i="14"/>
  <c r="G5" i="3"/>
  <c r="E68" i="14"/>
  <c r="E70" i="14" s="1"/>
  <c r="E82" i="14" s="1"/>
  <c r="E41" i="14"/>
  <c r="E43" i="14" s="1"/>
  <c r="E53" i="14" s="1"/>
  <c r="E101" i="14"/>
  <c r="E103" i="14" s="1"/>
  <c r="E125" i="14" s="1"/>
  <c r="E19" i="14"/>
  <c r="E21" i="14" s="1"/>
  <c r="E30" i="14" s="1"/>
  <c r="G63" i="3"/>
  <c r="G15" i="3"/>
  <c r="E67" i="15"/>
  <c r="E66" i="15"/>
  <c r="E58" i="15"/>
  <c r="F69" i="15" s="1"/>
  <c r="E53" i="15"/>
  <c r="E63" i="15"/>
  <c r="E59" i="15"/>
  <c r="E62" i="15"/>
  <c r="E64" i="15"/>
  <c r="E65" i="15"/>
  <c r="E61" i="15"/>
  <c r="E60" i="15"/>
  <c r="I46" i="3"/>
  <c r="G27" i="3"/>
  <c r="E31" i="25"/>
  <c r="E30" i="25"/>
  <c r="F36" i="25" s="1"/>
  <c r="J14" i="25"/>
  <c r="G70" i="3"/>
  <c r="G76" i="3"/>
  <c r="E29" i="15"/>
  <c r="F13" i="15"/>
  <c r="F14" i="15" s="1"/>
  <c r="D16" i="2" s="1"/>
  <c r="E37" i="15"/>
  <c r="E38" i="15"/>
  <c r="J15" i="15"/>
  <c r="E35" i="15"/>
  <c r="E34" i="15"/>
  <c r="F40" i="15" s="1"/>
  <c r="E36" i="15"/>
  <c r="M47" i="3"/>
  <c r="E114" i="25"/>
  <c r="F145" i="25" s="1"/>
  <c r="E115" i="25"/>
  <c r="E52" i="25"/>
  <c r="E51" i="25"/>
  <c r="F62" i="25" s="1"/>
  <c r="G26" i="3"/>
  <c r="AA40" i="1"/>
  <c r="J48" i="3"/>
  <c r="K69" i="3"/>
  <c r="E156" i="15"/>
  <c r="E132" i="15"/>
  <c r="E134" i="15"/>
  <c r="E149" i="15"/>
  <c r="E143" i="15"/>
  <c r="E137" i="15"/>
  <c r="E127" i="15"/>
  <c r="F158" i="15" s="1"/>
  <c r="E131" i="15"/>
  <c r="E148" i="15"/>
  <c r="E141" i="15"/>
  <c r="E147" i="15"/>
  <c r="E140" i="15"/>
  <c r="E151" i="15"/>
  <c r="E129" i="15"/>
  <c r="E144" i="15"/>
  <c r="E138" i="15"/>
  <c r="E136" i="15"/>
  <c r="E135" i="15"/>
  <c r="E152" i="15"/>
  <c r="E130" i="15"/>
  <c r="E145" i="15"/>
  <c r="E142" i="15"/>
  <c r="E122" i="15"/>
  <c r="E139" i="15"/>
  <c r="E153" i="15"/>
  <c r="E146" i="15"/>
  <c r="E155" i="15"/>
  <c r="E133" i="15"/>
  <c r="E154" i="15"/>
  <c r="E150" i="15"/>
  <c r="E128" i="15"/>
  <c r="E105" i="15"/>
  <c r="E106" i="15"/>
  <c r="E87" i="15"/>
  <c r="F108" i="15" s="1"/>
  <c r="E88" i="15"/>
  <c r="E92" i="15"/>
  <c r="E82" i="15"/>
  <c r="E104" i="15"/>
  <c r="E97" i="15"/>
  <c r="E91" i="15"/>
  <c r="E102" i="15"/>
  <c r="E90" i="15"/>
  <c r="E95" i="15"/>
  <c r="E103" i="15"/>
  <c r="E98" i="15"/>
  <c r="E96" i="15"/>
  <c r="E89" i="15"/>
  <c r="E99" i="15"/>
  <c r="E94" i="15"/>
  <c r="E100" i="15"/>
  <c r="E101" i="15"/>
  <c r="E93" i="15"/>
  <c r="E78" i="25"/>
  <c r="E77" i="25"/>
  <c r="F98" i="25" s="1"/>
  <c r="G59" i="3" l="1"/>
  <c r="G55" i="3" s="1"/>
  <c r="G14" i="3"/>
  <c r="G65" i="3"/>
  <c r="E59" i="16"/>
  <c r="E96" i="16"/>
  <c r="E81" i="14"/>
  <c r="E34" i="16"/>
  <c r="E87" i="14"/>
  <c r="E87" i="16"/>
  <c r="F118" i="16" s="1"/>
  <c r="E33" i="16"/>
  <c r="F39" i="16" s="1"/>
  <c r="E83" i="14"/>
  <c r="E89" i="14"/>
  <c r="E75" i="14"/>
  <c r="F91" i="14" s="1"/>
  <c r="E86" i="14"/>
  <c r="E79" i="14"/>
  <c r="E84" i="14"/>
  <c r="E29" i="14"/>
  <c r="E27" i="14"/>
  <c r="G4" i="3"/>
  <c r="E126" i="14"/>
  <c r="E129" i="14"/>
  <c r="E67" i="16"/>
  <c r="E108" i="14"/>
  <c r="F139" i="14" s="1"/>
  <c r="E121" i="14"/>
  <c r="E58" i="16"/>
  <c r="F69" i="16" s="1"/>
  <c r="E134" i="14"/>
  <c r="E137" i="14"/>
  <c r="E112" i="14"/>
  <c r="E57" i="14"/>
  <c r="E76" i="14"/>
  <c r="E78" i="14"/>
  <c r="E77" i="14"/>
  <c r="E80" i="14"/>
  <c r="E51" i="14"/>
  <c r="E85" i="14"/>
  <c r="E88" i="14"/>
  <c r="E28" i="14"/>
  <c r="J8" i="14"/>
  <c r="L11" i="3" s="1"/>
  <c r="E26" i="14"/>
  <c r="F32" i="14" s="1"/>
  <c r="E55" i="14"/>
  <c r="E49" i="14"/>
  <c r="E50" i="14"/>
  <c r="E54" i="14"/>
  <c r="E56" i="14"/>
  <c r="E48" i="14"/>
  <c r="F59" i="14" s="1"/>
  <c r="E52" i="14"/>
  <c r="E113" i="14"/>
  <c r="E109" i="14"/>
  <c r="E115" i="14"/>
  <c r="E124" i="14"/>
  <c r="E118" i="14"/>
  <c r="E135" i="14"/>
  <c r="E131" i="14"/>
  <c r="E120" i="14"/>
  <c r="E132" i="14"/>
  <c r="E119" i="14"/>
  <c r="E127" i="14"/>
  <c r="E117" i="14"/>
  <c r="E133" i="14"/>
  <c r="E136" i="14"/>
  <c r="E130" i="14"/>
  <c r="E123" i="14"/>
  <c r="E116" i="14"/>
  <c r="E111" i="14"/>
  <c r="E114" i="14"/>
  <c r="E110" i="14"/>
  <c r="E122" i="14"/>
  <c r="E128" i="14"/>
  <c r="K48" i="3"/>
  <c r="L69" i="3"/>
  <c r="L75" i="3"/>
  <c r="J16" i="15"/>
  <c r="E84" i="15"/>
  <c r="E124" i="15"/>
  <c r="L64" i="3"/>
  <c r="E31" i="15"/>
  <c r="F11" i="25"/>
  <c r="E55" i="15"/>
  <c r="J46" i="3"/>
  <c r="F11" i="15"/>
  <c r="H32" i="3" s="1"/>
  <c r="AA84" i="1"/>
  <c r="N47" i="3"/>
  <c r="H38" i="3"/>
  <c r="D14" i="2"/>
  <c r="G51" i="3"/>
  <c r="G72" i="3"/>
  <c r="G50" i="3" l="1"/>
  <c r="G13" i="3"/>
  <c r="G61" i="3"/>
  <c r="F11" i="16"/>
  <c r="H42" i="3" s="1"/>
  <c r="E23" i="14"/>
  <c r="F6" i="14"/>
  <c r="H31" i="3" s="1"/>
  <c r="E72" i="14"/>
  <c r="H23" i="2"/>
  <c r="E45" i="14"/>
  <c r="E105" i="14"/>
  <c r="H39" i="3"/>
  <c r="F12" i="25"/>
  <c r="H43" i="3"/>
  <c r="L48" i="3"/>
  <c r="M69" i="3"/>
  <c r="O47" i="3"/>
  <c r="E17" i="15"/>
  <c r="G35" i="3" s="1"/>
  <c r="H24" i="2"/>
  <c r="L12" i="3"/>
  <c r="G49" i="3"/>
  <c r="K46" i="3"/>
  <c r="AA39" i="1" l="1"/>
  <c r="AA83" i="1" s="1"/>
  <c r="P47" i="3"/>
  <c r="G56" i="3"/>
  <c r="D10" i="2"/>
  <c r="H41" i="3" s="1"/>
  <c r="F12" i="16"/>
  <c r="D13" i="2"/>
  <c r="D11" i="2" s="1"/>
  <c r="E9" i="14"/>
  <c r="G34" i="3" s="1"/>
  <c r="H22" i="2"/>
  <c r="L10" i="3"/>
  <c r="Q47" i="3"/>
  <c r="M48" i="3"/>
  <c r="N69" i="3"/>
  <c r="AB34" i="1"/>
  <c r="L46" i="3"/>
  <c r="G53" i="3"/>
  <c r="H30" i="3"/>
  <c r="AA13" i="1" l="1"/>
  <c r="D8" i="2"/>
  <c r="D7" i="2" s="1"/>
  <c r="G33" i="3"/>
  <c r="AF41" i="1"/>
  <c r="H44" i="3"/>
  <c r="N48" i="3"/>
  <c r="O69" i="3"/>
  <c r="M46" i="3"/>
  <c r="AA12" i="1"/>
  <c r="AB78" i="1"/>
  <c r="AA10" i="1" l="1"/>
  <c r="AA26" i="1" s="1"/>
  <c r="AA57" i="1"/>
  <c r="P69" i="3"/>
  <c r="G36" i="3"/>
  <c r="AA33" i="1"/>
  <c r="AF85" i="1"/>
  <c r="N46" i="3"/>
  <c r="D17" i="2"/>
  <c r="AB31" i="1"/>
  <c r="AA9" i="1"/>
  <c r="AA8" i="1"/>
  <c r="AA11" i="1"/>
  <c r="AA56" i="1"/>
  <c r="O48" i="3"/>
  <c r="AA54" i="1" l="1"/>
  <c r="AA8" i="22" s="1"/>
  <c r="AA32" i="1"/>
  <c r="AA25" i="26" s="1"/>
  <c r="P48" i="3"/>
  <c r="AA77" i="1"/>
  <c r="AB27" i="26"/>
  <c r="AA24" i="1"/>
  <c r="AA6" i="1"/>
  <c r="AA52" i="1"/>
  <c r="AA7" i="22" s="1"/>
  <c r="D19" i="2"/>
  <c r="P46" i="3"/>
  <c r="Q69" i="3"/>
  <c r="AA53" i="1"/>
  <c r="AA25" i="1"/>
  <c r="AA7" i="1"/>
  <c r="AA70" i="1"/>
  <c r="O46" i="3"/>
  <c r="AA55" i="1"/>
  <c r="AB75" i="1"/>
  <c r="H66" i="3"/>
  <c r="Q48" i="3" l="1"/>
  <c r="AA76" i="1"/>
  <c r="AA35" i="1"/>
  <c r="D40" i="2"/>
  <c r="D21" i="2"/>
  <c r="D26" i="2"/>
  <c r="AA51" i="1"/>
  <c r="AA50" i="1"/>
  <c r="AA6" i="22" s="1"/>
  <c r="AA12" i="22"/>
  <c r="AA69" i="1"/>
  <c r="AA23" i="1"/>
  <c r="AA68" i="1"/>
  <c r="AA22" i="1"/>
  <c r="AA26" i="26" l="1"/>
  <c r="AA79" i="1"/>
  <c r="AA36" i="1"/>
  <c r="Q46" i="3"/>
  <c r="AA11" i="22"/>
  <c r="D25" i="2"/>
  <c r="F4" i="25" s="1"/>
  <c r="H18" i="3" s="1"/>
  <c r="H16" i="3"/>
  <c r="AA67" i="1"/>
  <c r="AA66" i="1"/>
  <c r="D20" i="2"/>
  <c r="F5" i="15" s="1"/>
  <c r="H6" i="3" s="1"/>
  <c r="AA28" i="26" l="1"/>
  <c r="AA39" i="26" s="1"/>
  <c r="AA43" i="1"/>
  <c r="AA80" i="1"/>
  <c r="AA20" i="26"/>
  <c r="AB41" i="26" s="1"/>
  <c r="D12" i="27"/>
  <c r="E28" i="27" s="1"/>
  <c r="AB42" i="26"/>
  <c r="AB40" i="26"/>
  <c r="AA37" i="26"/>
  <c r="F4" i="16"/>
  <c r="H17" i="3" s="1"/>
  <c r="F3" i="14"/>
  <c r="F49" i="15"/>
  <c r="F51" i="15" s="1"/>
  <c r="F52" i="15" s="1"/>
  <c r="F25" i="15"/>
  <c r="F27" i="15" s="1"/>
  <c r="F28" i="15" s="1"/>
  <c r="F78" i="15"/>
  <c r="F80" i="15" s="1"/>
  <c r="F81" i="15" s="1"/>
  <c r="F8" i="15"/>
  <c r="F10" i="15" s="1"/>
  <c r="H74" i="3" s="1"/>
  <c r="F118" i="15"/>
  <c r="F120" i="15" s="1"/>
  <c r="F121" i="15" s="1"/>
  <c r="F7" i="15"/>
  <c r="AA10" i="22"/>
  <c r="H25" i="3"/>
  <c r="F6" i="25"/>
  <c r="F9" i="25" s="1"/>
  <c r="F70" i="25"/>
  <c r="F72" i="25" s="1"/>
  <c r="F73" i="25" s="1"/>
  <c r="F77" i="25" s="1"/>
  <c r="G98" i="25" s="1"/>
  <c r="F107" i="25"/>
  <c r="F109" i="25" s="1"/>
  <c r="F110" i="25" s="1"/>
  <c r="F114" i="25" s="1"/>
  <c r="G145" i="25" s="1"/>
  <c r="F23" i="25"/>
  <c r="F25" i="25" s="1"/>
  <c r="F26" i="25" s="1"/>
  <c r="F7" i="25"/>
  <c r="F44" i="25"/>
  <c r="F46" i="25" s="1"/>
  <c r="F47" i="25" s="1"/>
  <c r="F51" i="25" s="1"/>
  <c r="G62" i="25" s="1"/>
  <c r="AA88" i="1" l="1"/>
  <c r="AA18" i="22" s="1"/>
  <c r="AA19" i="22" s="1"/>
  <c r="AA45" i="1"/>
  <c r="AA90" i="1" s="1"/>
  <c r="F49" i="16"/>
  <c r="F51" i="16" s="1"/>
  <c r="F52" i="16" s="1"/>
  <c r="F66" i="16" s="1"/>
  <c r="F24" i="16"/>
  <c r="F26" i="16" s="1"/>
  <c r="F27" i="16" s="1"/>
  <c r="K14" i="16" s="1"/>
  <c r="F78" i="16"/>
  <c r="F80" i="16" s="1"/>
  <c r="F81" i="16" s="1"/>
  <c r="F87" i="16" s="1"/>
  <c r="G118" i="16" s="1"/>
  <c r="F6" i="16"/>
  <c r="F9" i="16" s="1"/>
  <c r="H63" i="3" s="1"/>
  <c r="F7" i="16"/>
  <c r="AA45" i="26"/>
  <c r="F101" i="14"/>
  <c r="F103" i="14" s="1"/>
  <c r="F110" i="14" s="1"/>
  <c r="H5" i="3"/>
  <c r="F19" i="14"/>
  <c r="F21" i="14" s="1"/>
  <c r="F26" i="14" s="1"/>
  <c r="G32" i="14" s="1"/>
  <c r="F5" i="14"/>
  <c r="F41" i="14"/>
  <c r="F43" i="14" s="1"/>
  <c r="F54" i="14" s="1"/>
  <c r="F68" i="14"/>
  <c r="F70" i="14" s="1"/>
  <c r="F79" i="14" s="1"/>
  <c r="F30" i="25"/>
  <c r="G36" i="25" s="1"/>
  <c r="G11" i="25" s="1"/>
  <c r="K14" i="25"/>
  <c r="F95" i="16"/>
  <c r="H76" i="3"/>
  <c r="H70" i="3"/>
  <c r="H27" i="3"/>
  <c r="H15" i="3"/>
  <c r="F82" i="15"/>
  <c r="F105" i="15"/>
  <c r="F91" i="15"/>
  <c r="F103" i="15"/>
  <c r="F98" i="15"/>
  <c r="F93" i="15"/>
  <c r="F100" i="15"/>
  <c r="F97" i="15"/>
  <c r="F94" i="15"/>
  <c r="F89" i="15"/>
  <c r="F96" i="15"/>
  <c r="F87" i="15"/>
  <c r="G108" i="15" s="1"/>
  <c r="F99" i="15"/>
  <c r="F95" i="15"/>
  <c r="F106" i="15"/>
  <c r="F101" i="15"/>
  <c r="F92" i="15"/>
  <c r="F104" i="15"/>
  <c r="F90" i="15"/>
  <c r="F102" i="15"/>
  <c r="F88" i="15"/>
  <c r="F53" i="15"/>
  <c r="F59" i="15"/>
  <c r="F61" i="15"/>
  <c r="F67" i="15"/>
  <c r="F64" i="15"/>
  <c r="F66" i="15"/>
  <c r="F63" i="15"/>
  <c r="F65" i="15"/>
  <c r="F58" i="15"/>
  <c r="G69" i="15" s="1"/>
  <c r="F60" i="15"/>
  <c r="F62" i="15"/>
  <c r="H26" i="3"/>
  <c r="AB40" i="1"/>
  <c r="F133" i="15"/>
  <c r="F122" i="15"/>
  <c r="F154" i="15"/>
  <c r="F130" i="15"/>
  <c r="F150" i="15"/>
  <c r="F144" i="15"/>
  <c r="F143" i="15"/>
  <c r="F140" i="15"/>
  <c r="F139" i="15"/>
  <c r="F153" i="15"/>
  <c r="F149" i="15"/>
  <c r="F138" i="15"/>
  <c r="F155" i="15"/>
  <c r="F156" i="15"/>
  <c r="F151" i="15"/>
  <c r="F152" i="15"/>
  <c r="F129" i="15"/>
  <c r="F148" i="15"/>
  <c r="F147" i="15"/>
  <c r="F128" i="15"/>
  <c r="F127" i="15"/>
  <c r="G158" i="15" s="1"/>
  <c r="F137" i="15"/>
  <c r="F146" i="15"/>
  <c r="F136" i="15"/>
  <c r="F135" i="15"/>
  <c r="F132" i="15"/>
  <c r="F134" i="15"/>
  <c r="F145" i="15"/>
  <c r="F131" i="15"/>
  <c r="F141" i="15"/>
  <c r="F142" i="15"/>
  <c r="G13" i="15"/>
  <c r="G14" i="15" s="1"/>
  <c r="E16" i="2" s="1"/>
  <c r="F29" i="15"/>
  <c r="F38" i="15"/>
  <c r="F36" i="15"/>
  <c r="K15" i="15"/>
  <c r="F37" i="15"/>
  <c r="F34" i="15"/>
  <c r="G40" i="15" s="1"/>
  <c r="F35" i="15"/>
  <c r="F58" i="16" l="1"/>
  <c r="G69" i="16" s="1"/>
  <c r="F86" i="14"/>
  <c r="H59" i="3"/>
  <c r="K8" i="14"/>
  <c r="I23" i="2" s="1"/>
  <c r="F137" i="14"/>
  <c r="F114" i="14"/>
  <c r="F57" i="14"/>
  <c r="F111" i="14"/>
  <c r="F118" i="14"/>
  <c r="F135" i="14"/>
  <c r="F134" i="14"/>
  <c r="F132" i="14"/>
  <c r="F112" i="14"/>
  <c r="F115" i="14"/>
  <c r="F128" i="14"/>
  <c r="F136" i="14"/>
  <c r="F116" i="14"/>
  <c r="F124" i="14"/>
  <c r="F130" i="14"/>
  <c r="F109" i="14"/>
  <c r="F120" i="14"/>
  <c r="F113" i="14"/>
  <c r="F125" i="14"/>
  <c r="F127" i="14"/>
  <c r="F131" i="14"/>
  <c r="F126" i="14"/>
  <c r="F119" i="14"/>
  <c r="F108" i="14"/>
  <c r="G139" i="14" s="1"/>
  <c r="F123" i="14"/>
  <c r="F122" i="14"/>
  <c r="F129" i="14"/>
  <c r="F133" i="14"/>
  <c r="F121" i="14"/>
  <c r="F117" i="14"/>
  <c r="F82" i="14"/>
  <c r="F85" i="14"/>
  <c r="F84" i="14"/>
  <c r="F89" i="14"/>
  <c r="F29" i="14"/>
  <c r="F28" i="14"/>
  <c r="F27" i="14"/>
  <c r="F30" i="14"/>
  <c r="F33" i="16"/>
  <c r="G39" i="16" s="1"/>
  <c r="F51" i="14"/>
  <c r="F80" i="14"/>
  <c r="F83" i="14"/>
  <c r="F87" i="14"/>
  <c r="F78" i="14"/>
  <c r="F88" i="14"/>
  <c r="H4" i="3"/>
  <c r="F77" i="14"/>
  <c r="H14" i="3"/>
  <c r="F75" i="14"/>
  <c r="G91" i="14" s="1"/>
  <c r="F76" i="14"/>
  <c r="F81" i="14"/>
  <c r="F56" i="14"/>
  <c r="F53" i="14"/>
  <c r="F50" i="14"/>
  <c r="F52" i="14"/>
  <c r="F55" i="14"/>
  <c r="F49" i="14"/>
  <c r="F48" i="14"/>
  <c r="G59" i="14" s="1"/>
  <c r="M64" i="3"/>
  <c r="H65" i="3"/>
  <c r="G11" i="15"/>
  <c r="I32" i="3" s="1"/>
  <c r="AB84" i="1"/>
  <c r="F55" i="15"/>
  <c r="G12" i="25"/>
  <c r="I43" i="3"/>
  <c r="H72" i="3"/>
  <c r="H51" i="3"/>
  <c r="F31" i="15"/>
  <c r="F124" i="15"/>
  <c r="M75" i="3"/>
  <c r="K16" i="15"/>
  <c r="I38" i="3"/>
  <c r="E14" i="2"/>
  <c r="F84" i="15"/>
  <c r="H61" i="3" l="1"/>
  <c r="G11" i="16"/>
  <c r="G12" i="16" s="1"/>
  <c r="H50" i="3"/>
  <c r="H55" i="3"/>
  <c r="M11" i="3"/>
  <c r="F105" i="14"/>
  <c r="F23" i="14"/>
  <c r="G6" i="14"/>
  <c r="E13" i="2" s="1"/>
  <c r="H13" i="3"/>
  <c r="F72" i="14"/>
  <c r="F45" i="14"/>
  <c r="F17" i="15"/>
  <c r="H35" i="3" s="1"/>
  <c r="I39" i="3"/>
  <c r="I24" i="2"/>
  <c r="M12" i="3"/>
  <c r="I42" i="3" l="1"/>
  <c r="E10" i="2"/>
  <c r="E8" i="2" s="1"/>
  <c r="H49" i="3"/>
  <c r="AB39" i="1"/>
  <c r="AB83" i="1" s="1"/>
  <c r="H56" i="3"/>
  <c r="I31" i="3"/>
  <c r="F9" i="14"/>
  <c r="H34" i="3" s="1"/>
  <c r="I22" i="2"/>
  <c r="E11" i="2"/>
  <c r="AC34" i="1"/>
  <c r="M10" i="3"/>
  <c r="I41" i="3" l="1"/>
  <c r="H53" i="3"/>
  <c r="AB13" i="1"/>
  <c r="I30" i="3"/>
  <c r="H33" i="3"/>
  <c r="E7" i="2"/>
  <c r="AC78" i="1"/>
  <c r="AG41" i="1"/>
  <c r="I44" i="3" l="1"/>
  <c r="AB12" i="1"/>
  <c r="AB56" i="1" s="1"/>
  <c r="AB57" i="1"/>
  <c r="AB10" i="1"/>
  <c r="AB54" i="1" s="1"/>
  <c r="AB8" i="22" s="1"/>
  <c r="H36" i="3"/>
  <c r="AB33" i="1"/>
  <c r="AG85" i="1"/>
  <c r="E17" i="2"/>
  <c r="AC31" i="1" l="1"/>
  <c r="I66" i="3" s="1"/>
  <c r="AB9" i="1"/>
  <c r="AB25" i="1" s="1"/>
  <c r="AB11" i="1"/>
  <c r="AB55" i="1" s="1"/>
  <c r="AB8" i="1"/>
  <c r="AB6" i="1" s="1"/>
  <c r="AB26" i="1"/>
  <c r="AB32" i="1"/>
  <c r="AB77" i="1"/>
  <c r="E19" i="2"/>
  <c r="AC27" i="26" l="1"/>
  <c r="AC75" i="1"/>
  <c r="AB53" i="1"/>
  <c r="AB7" i="1"/>
  <c r="AB51" i="1" s="1"/>
  <c r="AB24" i="1"/>
  <c r="AB22" i="1" s="1"/>
  <c r="AB52" i="1"/>
  <c r="AB7" i="22" s="1"/>
  <c r="AB70" i="1"/>
  <c r="AB12" i="22" s="1"/>
  <c r="AB76" i="1"/>
  <c r="AB35" i="1"/>
  <c r="AB25" i="26"/>
  <c r="AB69" i="1"/>
  <c r="AB23" i="1"/>
  <c r="E26" i="2"/>
  <c r="E21" i="2"/>
  <c r="E40" i="2"/>
  <c r="AB50" i="1"/>
  <c r="AB6" i="22" s="1"/>
  <c r="D17" i="15"/>
  <c r="F35" i="3" s="1"/>
  <c r="AB68" i="1" l="1"/>
  <c r="AB11" i="22" s="1"/>
  <c r="AB26" i="26"/>
  <c r="AB79" i="1"/>
  <c r="AB36" i="1"/>
  <c r="E25" i="2"/>
  <c r="G4" i="25" s="1"/>
  <c r="I18" i="3" s="1"/>
  <c r="I16" i="3"/>
  <c r="AB66" i="1"/>
  <c r="AB67" i="1"/>
  <c r="F33" i="3"/>
  <c r="E20" i="2"/>
  <c r="G5" i="15" s="1"/>
  <c r="I6" i="3" s="1"/>
  <c r="AB28" i="26" l="1"/>
  <c r="AB39" i="26" s="1"/>
  <c r="AB43" i="1"/>
  <c r="AB80" i="1"/>
  <c r="AB20" i="26"/>
  <c r="AC41" i="26" s="1"/>
  <c r="E12" i="27"/>
  <c r="F28" i="27" s="1"/>
  <c r="AC42" i="26"/>
  <c r="AC40" i="26"/>
  <c r="AB37" i="26"/>
  <c r="G4" i="16"/>
  <c r="I17" i="3" s="1"/>
  <c r="G3" i="14"/>
  <c r="F36" i="3"/>
  <c r="Z33" i="1"/>
  <c r="AB10" i="22"/>
  <c r="G44" i="25"/>
  <c r="G46" i="25" s="1"/>
  <c r="G47" i="25" s="1"/>
  <c r="G107" i="25"/>
  <c r="G109" i="25" s="1"/>
  <c r="G110" i="25" s="1"/>
  <c r="G6" i="25"/>
  <c r="G9" i="25" s="1"/>
  <c r="G70" i="25"/>
  <c r="G72" i="25" s="1"/>
  <c r="G73" i="25" s="1"/>
  <c r="G7" i="25"/>
  <c r="G23" i="25"/>
  <c r="G25" i="25" s="1"/>
  <c r="G26" i="25" s="1"/>
  <c r="L14" i="25" s="1"/>
  <c r="G8" i="15"/>
  <c r="G10" i="15" s="1"/>
  <c r="I74" i="3" s="1"/>
  <c r="G49" i="15"/>
  <c r="G51" i="15" s="1"/>
  <c r="G52" i="15" s="1"/>
  <c r="G118" i="15"/>
  <c r="G120" i="15" s="1"/>
  <c r="G121" i="15" s="1"/>
  <c r="G25" i="15"/>
  <c r="G27" i="15" s="1"/>
  <c r="G28" i="15" s="1"/>
  <c r="G7" i="15"/>
  <c r="G78" i="15"/>
  <c r="G80" i="15" s="1"/>
  <c r="G81" i="15" s="1"/>
  <c r="I25" i="3"/>
  <c r="AB45" i="1" l="1"/>
  <c r="AB90" i="1" s="1"/>
  <c r="AB88" i="1"/>
  <c r="AB18" i="22" s="1"/>
  <c r="AB19" i="22" s="1"/>
  <c r="F25" i="27"/>
  <c r="F26" i="27" s="1"/>
  <c r="AB45" i="26"/>
  <c r="G68" i="14"/>
  <c r="G70" i="14" s="1"/>
  <c r="G77" i="14" s="1"/>
  <c r="I5" i="3"/>
  <c r="G5" i="14"/>
  <c r="G24" i="16"/>
  <c r="G26" i="16" s="1"/>
  <c r="G27" i="16" s="1"/>
  <c r="L14" i="16" s="1"/>
  <c r="N64" i="3" s="1"/>
  <c r="G19" i="14"/>
  <c r="G21" i="14" s="1"/>
  <c r="G26" i="14" s="1"/>
  <c r="H32" i="14" s="1"/>
  <c r="G78" i="16"/>
  <c r="G80" i="16" s="1"/>
  <c r="G81" i="16" s="1"/>
  <c r="G94" i="16" s="1"/>
  <c r="G49" i="16"/>
  <c r="G51" i="16" s="1"/>
  <c r="G52" i="16" s="1"/>
  <c r="G65" i="16" s="1"/>
  <c r="G6" i="16"/>
  <c r="G9" i="16" s="1"/>
  <c r="I63" i="3" s="1"/>
  <c r="G41" i="14"/>
  <c r="G43" i="14" s="1"/>
  <c r="G56" i="14" s="1"/>
  <c r="G7" i="16"/>
  <c r="G101" i="14"/>
  <c r="G103" i="14" s="1"/>
  <c r="G109" i="14" s="1"/>
  <c r="Z77" i="1"/>
  <c r="I70" i="3"/>
  <c r="I76" i="3"/>
  <c r="G100" i="15"/>
  <c r="G91" i="15"/>
  <c r="G90" i="15"/>
  <c r="G97" i="15"/>
  <c r="G88" i="15"/>
  <c r="G105" i="15"/>
  <c r="G96" i="15"/>
  <c r="G103" i="15"/>
  <c r="G102" i="15"/>
  <c r="G93" i="15"/>
  <c r="G95" i="15"/>
  <c r="G82" i="15"/>
  <c r="G89" i="15"/>
  <c r="G101" i="15"/>
  <c r="G87" i="15"/>
  <c r="H108" i="15" s="1"/>
  <c r="G99" i="15"/>
  <c r="G98" i="15"/>
  <c r="G94" i="15"/>
  <c r="G106" i="15"/>
  <c r="G92" i="15"/>
  <c r="G104" i="15"/>
  <c r="I15" i="3"/>
  <c r="G38" i="15"/>
  <c r="L15" i="15"/>
  <c r="G35" i="15"/>
  <c r="G37" i="15"/>
  <c r="G29" i="15"/>
  <c r="G34" i="15"/>
  <c r="H40" i="15" s="1"/>
  <c r="H13" i="15"/>
  <c r="H14" i="15" s="1"/>
  <c r="F16" i="2" s="1"/>
  <c r="G36" i="15"/>
  <c r="G60" i="15"/>
  <c r="G61" i="15"/>
  <c r="G59" i="15"/>
  <c r="G58" i="15"/>
  <c r="H69" i="15" s="1"/>
  <c r="G64" i="15"/>
  <c r="G65" i="15"/>
  <c r="G63" i="15"/>
  <c r="G67" i="15"/>
  <c r="G66" i="15"/>
  <c r="G53" i="15"/>
  <c r="G62" i="15"/>
  <c r="I27" i="3"/>
  <c r="Z32" i="1"/>
  <c r="Z25" i="26" s="1"/>
  <c r="AC40" i="1"/>
  <c r="G153" i="15"/>
  <c r="G152" i="15"/>
  <c r="G149" i="15"/>
  <c r="G143" i="15"/>
  <c r="G145" i="15"/>
  <c r="G139" i="15"/>
  <c r="G138" i="15"/>
  <c r="G127" i="15"/>
  <c r="H158" i="15" s="1"/>
  <c r="G137" i="15"/>
  <c r="G135" i="15"/>
  <c r="G133" i="15"/>
  <c r="G134" i="15"/>
  <c r="G129" i="15"/>
  <c r="G128" i="15"/>
  <c r="G142" i="15"/>
  <c r="G130" i="15"/>
  <c r="G122" i="15"/>
  <c r="G144" i="15"/>
  <c r="G140" i="15"/>
  <c r="G141" i="15"/>
  <c r="G154" i="15"/>
  <c r="G148" i="15"/>
  <c r="G150" i="15"/>
  <c r="G132" i="15"/>
  <c r="G146" i="15"/>
  <c r="G131" i="15"/>
  <c r="G156" i="15"/>
  <c r="G155" i="15"/>
  <c r="G151" i="15"/>
  <c r="G147" i="15"/>
  <c r="G136" i="15"/>
  <c r="I26" i="3"/>
  <c r="G89" i="14" l="1"/>
  <c r="G55" i="14"/>
  <c r="G29" i="14"/>
  <c r="G75" i="14"/>
  <c r="H91" i="14" s="1"/>
  <c r="G51" i="14"/>
  <c r="G85" i="14"/>
  <c r="G48" i="14"/>
  <c r="H59" i="14" s="1"/>
  <c r="G80" i="14"/>
  <c r="G53" i="14"/>
  <c r="G49" i="14"/>
  <c r="G83" i="14"/>
  <c r="G76" i="14"/>
  <c r="G88" i="14"/>
  <c r="G28" i="14"/>
  <c r="G57" i="14"/>
  <c r="L8" i="14"/>
  <c r="N11" i="3" s="1"/>
  <c r="G27" i="14"/>
  <c r="G54" i="14"/>
  <c r="G50" i="14"/>
  <c r="G84" i="14"/>
  <c r="G86" i="14"/>
  <c r="G79" i="14"/>
  <c r="G82" i="14"/>
  <c r="G30" i="14"/>
  <c r="G52" i="14"/>
  <c r="G87" i="14"/>
  <c r="G78" i="14"/>
  <c r="G81" i="14"/>
  <c r="G124" i="14"/>
  <c r="G133" i="14"/>
  <c r="G111" i="14"/>
  <c r="G137" i="14"/>
  <c r="G108" i="14"/>
  <c r="H139" i="14" s="1"/>
  <c r="G125" i="14"/>
  <c r="G131" i="14"/>
  <c r="G126" i="14"/>
  <c r="G120" i="14"/>
  <c r="G129" i="14"/>
  <c r="G123" i="14"/>
  <c r="G132" i="14"/>
  <c r="G135" i="14"/>
  <c r="G110" i="14"/>
  <c r="G127" i="14"/>
  <c r="I14" i="3"/>
  <c r="I4" i="3"/>
  <c r="G122" i="14"/>
  <c r="G134" i="14"/>
  <c r="G130" i="14"/>
  <c r="G113" i="14"/>
  <c r="G116" i="14"/>
  <c r="G118" i="14"/>
  <c r="G121" i="14"/>
  <c r="G117" i="14"/>
  <c r="G136" i="14"/>
  <c r="G112" i="14"/>
  <c r="G114" i="14"/>
  <c r="G119" i="14"/>
  <c r="G115" i="14"/>
  <c r="G128" i="14"/>
  <c r="G84" i="15"/>
  <c r="I65" i="3"/>
  <c r="I59" i="3"/>
  <c r="Z76" i="1"/>
  <c r="Z35" i="1"/>
  <c r="Z26" i="26" s="1"/>
  <c r="G55" i="15"/>
  <c r="F14" i="2"/>
  <c r="J38" i="3"/>
  <c r="N75" i="3"/>
  <c r="L16" i="15"/>
  <c r="I51" i="3"/>
  <c r="I72" i="3"/>
  <c r="G31" i="15"/>
  <c r="H11" i="15"/>
  <c r="J32" i="3" s="1"/>
  <c r="G124" i="15"/>
  <c r="AC84" i="1"/>
  <c r="I50" i="3" l="1"/>
  <c r="H6" i="14"/>
  <c r="J31" i="3" s="1"/>
  <c r="J23" i="2"/>
  <c r="G45" i="14"/>
  <c r="G72" i="14"/>
  <c r="G23" i="14"/>
  <c r="I13" i="3"/>
  <c r="G105" i="14"/>
  <c r="Z79" i="1"/>
  <c r="G17" i="15"/>
  <c r="I35" i="3" s="1"/>
  <c r="J24" i="2"/>
  <c r="N12" i="3"/>
  <c r="Z36" i="1"/>
  <c r="Z28" i="26" s="1"/>
  <c r="I61" i="3"/>
  <c r="I55" i="3"/>
  <c r="J39" i="3"/>
  <c r="AC39" i="1" l="1"/>
  <c r="AC83" i="1" s="1"/>
  <c r="J30" i="3"/>
  <c r="I49" i="3"/>
  <c r="F13" i="2"/>
  <c r="F11" i="2" s="1"/>
  <c r="G9" i="14"/>
  <c r="I34" i="3" s="1"/>
  <c r="Z39" i="26"/>
  <c r="Z80" i="1"/>
  <c r="J22" i="2"/>
  <c r="AH41" i="1" s="1"/>
  <c r="AD34" i="1"/>
  <c r="N10" i="3"/>
  <c r="I56" i="3"/>
  <c r="Z43" i="1"/>
  <c r="K19" i="3"/>
  <c r="I53" i="3" l="1"/>
  <c r="I33" i="3"/>
  <c r="Z45" i="26"/>
  <c r="Z45" i="1"/>
  <c r="Z88" i="1"/>
  <c r="AC13" i="1"/>
  <c r="AD78" i="1"/>
  <c r="AH85" i="1"/>
  <c r="I5" i="16"/>
  <c r="K20" i="3" s="1"/>
  <c r="I25" i="16"/>
  <c r="I5" i="25"/>
  <c r="K21" i="3" s="1"/>
  <c r="AC12" i="1" l="1"/>
  <c r="AC9" i="1" s="1"/>
  <c r="I36" i="3"/>
  <c r="AC33" i="1"/>
  <c r="Z90" i="1"/>
  <c r="AC57" i="1"/>
  <c r="AC10" i="1"/>
  <c r="Z18" i="22"/>
  <c r="Z19" i="22" s="1"/>
  <c r="I79" i="16"/>
  <c r="I50" i="16"/>
  <c r="I71" i="25"/>
  <c r="I108" i="25"/>
  <c r="I45" i="25"/>
  <c r="L19" i="3"/>
  <c r="J5" i="25"/>
  <c r="J5" i="16"/>
  <c r="J25" i="16"/>
  <c r="AC11" i="1" l="1"/>
  <c r="AC56" i="1"/>
  <c r="AC8" i="1"/>
  <c r="AC6" i="1" s="1"/>
  <c r="AC32" i="1"/>
  <c r="AC25" i="26" s="1"/>
  <c r="AC77" i="1"/>
  <c r="AC54" i="1"/>
  <c r="AC8" i="22" s="1"/>
  <c r="AC26" i="1"/>
  <c r="AC25" i="1"/>
  <c r="AC53" i="1"/>
  <c r="AC7" i="1"/>
  <c r="AC55" i="1"/>
  <c r="J50" i="16"/>
  <c r="J79" i="16"/>
  <c r="L20" i="3"/>
  <c r="K5" i="25"/>
  <c r="K25" i="16"/>
  <c r="K5" i="16"/>
  <c r="M19" i="3"/>
  <c r="J108" i="25"/>
  <c r="L21" i="3"/>
  <c r="J45" i="25"/>
  <c r="J71" i="25"/>
  <c r="AC24" i="1" l="1"/>
  <c r="AC52" i="1"/>
  <c r="AC7" i="22" s="1"/>
  <c r="AC76" i="1"/>
  <c r="AC35" i="1"/>
  <c r="AC70" i="1"/>
  <c r="AC50" i="1"/>
  <c r="AC6" i="22" s="1"/>
  <c r="AC69" i="1"/>
  <c r="AC23" i="1"/>
  <c r="AC22" i="1"/>
  <c r="AC68" i="1"/>
  <c r="AC51" i="1"/>
  <c r="N19" i="3"/>
  <c r="L5" i="25"/>
  <c r="L5" i="16"/>
  <c r="L25" i="16"/>
  <c r="K79" i="16"/>
  <c r="M20" i="3"/>
  <c r="K50" i="16"/>
  <c r="K108" i="25"/>
  <c r="K71" i="25"/>
  <c r="K45" i="25"/>
  <c r="M21" i="3"/>
  <c r="AC26" i="26" l="1"/>
  <c r="AC36" i="1"/>
  <c r="AC79" i="1"/>
  <c r="AC67" i="1"/>
  <c r="AC11" i="22"/>
  <c r="AC66" i="1"/>
  <c r="AC12" i="22"/>
  <c r="P19" i="3"/>
  <c r="N5" i="16"/>
  <c r="N25" i="16"/>
  <c r="N20" i="3"/>
  <c r="L50" i="16"/>
  <c r="L79" i="16"/>
  <c r="O19" i="3"/>
  <c r="M5" i="25"/>
  <c r="M5" i="16"/>
  <c r="M25" i="16"/>
  <c r="L71" i="25"/>
  <c r="L108" i="25"/>
  <c r="L45" i="25"/>
  <c r="N21" i="3"/>
  <c r="AC28" i="26" l="1"/>
  <c r="AC39" i="26" s="1"/>
  <c r="AC43" i="1"/>
  <c r="AC80" i="1"/>
  <c r="AC20" i="26"/>
  <c r="F12" i="27"/>
  <c r="G28" i="27" s="1"/>
  <c r="AD42" i="26"/>
  <c r="AD40" i="26"/>
  <c r="AC37" i="26"/>
  <c r="AC10" i="22"/>
  <c r="XEY5" i="25"/>
  <c r="O20" i="3"/>
  <c r="M50" i="16"/>
  <c r="M79" i="16"/>
  <c r="XFD5" i="16"/>
  <c r="N79" i="16"/>
  <c r="P20" i="3"/>
  <c r="N50" i="16"/>
  <c r="M108" i="25"/>
  <c r="M71" i="25"/>
  <c r="O21" i="3"/>
  <c r="M45" i="25"/>
  <c r="N45" i="25"/>
  <c r="N71" i="25"/>
  <c r="P21" i="3"/>
  <c r="N108" i="25"/>
  <c r="H3" i="16"/>
  <c r="H3" i="25"/>
  <c r="G51" i="25" s="1"/>
  <c r="AC88" i="1" l="1"/>
  <c r="AC18" i="22" s="1"/>
  <c r="AC19" i="22" s="1"/>
  <c r="AC45" i="1"/>
  <c r="AC90" i="1" s="1"/>
  <c r="G25" i="27"/>
  <c r="G26" i="27" s="1"/>
  <c r="AC45" i="26"/>
  <c r="D90" i="16"/>
  <c r="D36" i="16"/>
  <c r="D61" i="16"/>
  <c r="E89" i="16"/>
  <c r="E35" i="16"/>
  <c r="E60" i="16"/>
  <c r="F88" i="16"/>
  <c r="F59" i="16"/>
  <c r="F34" i="16"/>
  <c r="G33" i="16"/>
  <c r="G58" i="16"/>
  <c r="G87" i="16"/>
  <c r="H15" i="16"/>
  <c r="F28" i="2" s="1"/>
  <c r="E79" i="25"/>
  <c r="D117" i="25"/>
  <c r="F52" i="25"/>
  <c r="E32" i="25"/>
  <c r="H15" i="25"/>
  <c r="J24" i="3" s="1"/>
  <c r="D54" i="25"/>
  <c r="J40" i="3"/>
  <c r="G77" i="25"/>
  <c r="G30" i="25"/>
  <c r="F78" i="25"/>
  <c r="F31" i="25"/>
  <c r="H8" i="16"/>
  <c r="F115" i="25"/>
  <c r="E116" i="25"/>
  <c r="D80" i="25"/>
  <c r="G114" i="25"/>
  <c r="D33" i="25"/>
  <c r="E53" i="25"/>
  <c r="H8" i="25"/>
  <c r="J62" i="3" l="1"/>
  <c r="J23" i="3"/>
  <c r="H62" i="25"/>
  <c r="F29" i="2"/>
  <c r="J58" i="3"/>
  <c r="H39" i="16"/>
  <c r="H36" i="25"/>
  <c r="H69" i="16"/>
  <c r="H98" i="25"/>
  <c r="H118" i="16"/>
  <c r="H145" i="25"/>
  <c r="F27" i="2" l="1"/>
  <c r="J22" i="3" s="1"/>
  <c r="J54" i="3"/>
  <c r="H11" i="16"/>
  <c r="H12" i="16" s="1"/>
  <c r="H11" i="25"/>
  <c r="AD42" i="1" l="1"/>
  <c r="J42" i="3"/>
  <c r="H12" i="25"/>
  <c r="J43" i="3"/>
  <c r="F10" i="2"/>
  <c r="AD86" i="1" l="1"/>
  <c r="J41" i="3"/>
  <c r="F8" i="2"/>
  <c r="J44" i="3" l="1"/>
  <c r="AD16" i="22"/>
  <c r="AD87" i="1"/>
  <c r="F7" i="2"/>
  <c r="F17" i="2" l="1"/>
  <c r="AD31" i="1"/>
  <c r="AD27" i="26" s="1"/>
  <c r="AD75" i="1" l="1"/>
  <c r="AD41" i="26"/>
  <c r="J66" i="3"/>
  <c r="F19" i="2"/>
  <c r="F40" i="2" l="1"/>
  <c r="F26" i="2"/>
  <c r="F21" i="2"/>
  <c r="F20" i="2" l="1"/>
  <c r="H5" i="15" s="1"/>
  <c r="J6" i="3" s="1"/>
  <c r="J16" i="3"/>
  <c r="F25" i="2"/>
  <c r="H4" i="25" s="1"/>
  <c r="J18" i="3" s="1"/>
  <c r="H4" i="16" l="1"/>
  <c r="H3" i="14"/>
  <c r="H23" i="25"/>
  <c r="H25" i="25" s="1"/>
  <c r="H26" i="25" s="1"/>
  <c r="M14" i="25" s="1"/>
  <c r="H6" i="25"/>
  <c r="H9" i="25" s="1"/>
  <c r="H7" i="25"/>
  <c r="H107" i="25"/>
  <c r="H109" i="25" s="1"/>
  <c r="H110" i="25" s="1"/>
  <c r="H70" i="25"/>
  <c r="H72" i="25" s="1"/>
  <c r="H73" i="25" s="1"/>
  <c r="H44" i="25"/>
  <c r="H46" i="25" s="1"/>
  <c r="H47" i="25" s="1"/>
  <c r="H118" i="15"/>
  <c r="H120" i="15" s="1"/>
  <c r="H121" i="15" s="1"/>
  <c r="H78" i="15"/>
  <c r="H80" i="15" s="1"/>
  <c r="H81" i="15" s="1"/>
  <c r="H7" i="15"/>
  <c r="H49" i="15"/>
  <c r="H51" i="15" s="1"/>
  <c r="H52" i="15" s="1"/>
  <c r="H8" i="15"/>
  <c r="H10" i="15" s="1"/>
  <c r="J74" i="3" s="1"/>
  <c r="H25" i="15"/>
  <c r="H27" i="15" s="1"/>
  <c r="H28" i="15" s="1"/>
  <c r="J25" i="3"/>
  <c r="H19" i="14" l="1"/>
  <c r="H21" i="14" s="1"/>
  <c r="H28" i="14" s="1"/>
  <c r="J5" i="3"/>
  <c r="H7" i="16"/>
  <c r="J17" i="3"/>
  <c r="H6" i="16"/>
  <c r="H9" i="16" s="1"/>
  <c r="H78" i="16"/>
  <c r="H80" i="16" s="1"/>
  <c r="H81" i="16" s="1"/>
  <c r="H93" i="16" s="1"/>
  <c r="H24" i="16"/>
  <c r="H26" i="16" s="1"/>
  <c r="H27" i="16" s="1"/>
  <c r="M14" i="16" s="1"/>
  <c r="O64" i="3" s="1"/>
  <c r="H49" i="16"/>
  <c r="H51" i="16" s="1"/>
  <c r="H52" i="16" s="1"/>
  <c r="H64" i="16" s="1"/>
  <c r="H41" i="14"/>
  <c r="H43" i="14" s="1"/>
  <c r="H53" i="14" s="1"/>
  <c r="H5" i="14"/>
  <c r="H101" i="14"/>
  <c r="H103" i="14" s="1"/>
  <c r="H129" i="14" s="1"/>
  <c r="H68" i="14"/>
  <c r="H70" i="14" s="1"/>
  <c r="H79" i="14" s="1"/>
  <c r="J63" i="3"/>
  <c r="H53" i="15"/>
  <c r="H58" i="15"/>
  <c r="I69" i="15" s="1"/>
  <c r="H60" i="15"/>
  <c r="H59" i="15"/>
  <c r="H63" i="15"/>
  <c r="H66" i="15"/>
  <c r="H62" i="15"/>
  <c r="H61" i="15"/>
  <c r="H64" i="15"/>
  <c r="H67" i="15"/>
  <c r="H65" i="15"/>
  <c r="H122" i="15"/>
  <c r="H128" i="15"/>
  <c r="H135" i="15"/>
  <c r="H142" i="15"/>
  <c r="H153" i="15"/>
  <c r="H137" i="15"/>
  <c r="H131" i="15"/>
  <c r="H132" i="15"/>
  <c r="H156" i="15"/>
  <c r="H130" i="15"/>
  <c r="H127" i="15"/>
  <c r="I158" i="15" s="1"/>
  <c r="H141" i="15"/>
  <c r="H149" i="15"/>
  <c r="H138" i="15"/>
  <c r="H146" i="15"/>
  <c r="H150" i="15"/>
  <c r="H151" i="15"/>
  <c r="H143" i="15"/>
  <c r="H133" i="15"/>
  <c r="H136" i="15"/>
  <c r="H148" i="15"/>
  <c r="H152" i="15"/>
  <c r="H139" i="15"/>
  <c r="H147" i="15"/>
  <c r="H155" i="15"/>
  <c r="H134" i="15"/>
  <c r="H129" i="15"/>
  <c r="H145" i="15"/>
  <c r="H144" i="15"/>
  <c r="H140" i="15"/>
  <c r="H154" i="15"/>
  <c r="AD40" i="1"/>
  <c r="J15" i="3"/>
  <c r="H29" i="15"/>
  <c r="M15" i="15"/>
  <c r="H35" i="15"/>
  <c r="H37" i="15"/>
  <c r="H38" i="15"/>
  <c r="H36" i="15"/>
  <c r="H34" i="15"/>
  <c r="I40" i="15" s="1"/>
  <c r="I13" i="15"/>
  <c r="I14" i="15" s="1"/>
  <c r="G16" i="2" s="1"/>
  <c r="J76" i="3"/>
  <c r="J70" i="3"/>
  <c r="H82" i="15"/>
  <c r="H102" i="15"/>
  <c r="H100" i="15"/>
  <c r="H103" i="15"/>
  <c r="H92" i="15"/>
  <c r="H87" i="15"/>
  <c r="I108" i="15" s="1"/>
  <c r="H106" i="15"/>
  <c r="H97" i="15"/>
  <c r="H105" i="15"/>
  <c r="H93" i="15"/>
  <c r="H99" i="15"/>
  <c r="H104" i="15"/>
  <c r="H96" i="15"/>
  <c r="H90" i="15"/>
  <c r="H95" i="15"/>
  <c r="H91" i="15"/>
  <c r="H98" i="15"/>
  <c r="H101" i="15"/>
  <c r="H94" i="15"/>
  <c r="H88" i="15"/>
  <c r="H89" i="15"/>
  <c r="J27" i="3"/>
  <c r="H49" i="14" l="1"/>
  <c r="J26" i="3"/>
  <c r="J14" i="3"/>
  <c r="J59" i="3"/>
  <c r="H54" i="14"/>
  <c r="H48" i="14"/>
  <c r="I59" i="14" s="1"/>
  <c r="H30" i="14"/>
  <c r="H52" i="14"/>
  <c r="H50" i="14"/>
  <c r="H56" i="14"/>
  <c r="M8" i="14"/>
  <c r="K23" i="2" s="1"/>
  <c r="H57" i="14"/>
  <c r="H51" i="14"/>
  <c r="H55" i="14"/>
  <c r="H26" i="14"/>
  <c r="I32" i="14" s="1"/>
  <c r="H133" i="14"/>
  <c r="H27" i="14"/>
  <c r="H29" i="14"/>
  <c r="H114" i="14"/>
  <c r="H132" i="14"/>
  <c r="H123" i="14"/>
  <c r="H130" i="14"/>
  <c r="H135" i="14"/>
  <c r="H118" i="14"/>
  <c r="H116" i="14"/>
  <c r="H121" i="14"/>
  <c r="H136" i="14"/>
  <c r="H109" i="14"/>
  <c r="H128" i="14"/>
  <c r="H115" i="14"/>
  <c r="H112" i="14"/>
  <c r="H127" i="14"/>
  <c r="H122" i="14"/>
  <c r="J4" i="3"/>
  <c r="H89" i="14"/>
  <c r="H111" i="14"/>
  <c r="H108" i="14"/>
  <c r="I139" i="14" s="1"/>
  <c r="H125" i="14"/>
  <c r="H110" i="14"/>
  <c r="H113" i="14"/>
  <c r="H117" i="14"/>
  <c r="H124" i="14"/>
  <c r="H134" i="14"/>
  <c r="H126" i="14"/>
  <c r="H120" i="14"/>
  <c r="H137" i="14"/>
  <c r="H131" i="14"/>
  <c r="H119" i="14"/>
  <c r="H88" i="14"/>
  <c r="H75" i="14"/>
  <c r="I91" i="14" s="1"/>
  <c r="H85" i="14"/>
  <c r="H83" i="14"/>
  <c r="H76" i="14"/>
  <c r="H80" i="14"/>
  <c r="H78" i="14"/>
  <c r="H82" i="14"/>
  <c r="H87" i="14"/>
  <c r="H77" i="14"/>
  <c r="H81" i="14"/>
  <c r="H86" i="14"/>
  <c r="H84" i="14"/>
  <c r="J65" i="3"/>
  <c r="H84" i="15"/>
  <c r="J51" i="3"/>
  <c r="J72" i="3"/>
  <c r="I11" i="15"/>
  <c r="K32" i="3" s="1"/>
  <c r="AD84" i="1"/>
  <c r="H124" i="15"/>
  <c r="O75" i="3"/>
  <c r="M16" i="15"/>
  <c r="H31" i="15"/>
  <c r="G14" i="2"/>
  <c r="K38" i="3"/>
  <c r="H55" i="15"/>
  <c r="J13" i="3" l="1"/>
  <c r="J50" i="3"/>
  <c r="J55" i="3"/>
  <c r="J61" i="3"/>
  <c r="O11" i="3"/>
  <c r="H45" i="14"/>
  <c r="I6" i="14"/>
  <c r="G13" i="2" s="1"/>
  <c r="H23" i="14"/>
  <c r="H105" i="14"/>
  <c r="H72" i="14"/>
  <c r="H17" i="15"/>
  <c r="J35" i="3" s="1"/>
  <c r="K24" i="2"/>
  <c r="O12" i="3"/>
  <c r="K39" i="3"/>
  <c r="AD39" i="1" l="1"/>
  <c r="AD83" i="1" s="1"/>
  <c r="J49" i="3"/>
  <c r="J56" i="3"/>
  <c r="K31" i="3"/>
  <c r="H9" i="14"/>
  <c r="J34" i="3" s="1"/>
  <c r="K22" i="2"/>
  <c r="AI41" i="1" s="1"/>
  <c r="G11" i="2"/>
  <c r="O10" i="3"/>
  <c r="AE34" i="1"/>
  <c r="J53" i="3" l="1"/>
  <c r="K30" i="3"/>
  <c r="AD13" i="1"/>
  <c r="J33" i="3"/>
  <c r="AI85" i="1"/>
  <c r="AE78" i="1"/>
  <c r="AD12" i="1" l="1"/>
  <c r="AD8" i="1" s="1"/>
  <c r="AD33" i="1"/>
  <c r="AD77" i="1" s="1"/>
  <c r="AD57" i="1"/>
  <c r="AD10" i="1"/>
  <c r="J36" i="3"/>
  <c r="I3" i="25"/>
  <c r="G78" i="25" s="1"/>
  <c r="AD11" i="1" l="1"/>
  <c r="AD9" i="1"/>
  <c r="AD7" i="1" s="1"/>
  <c r="AD56" i="1"/>
  <c r="AD26" i="1"/>
  <c r="AD70" i="1" s="1"/>
  <c r="AD12" i="22" s="1"/>
  <c r="AD54" i="1"/>
  <c r="AD8" i="22" s="1"/>
  <c r="AD32" i="1"/>
  <c r="AD25" i="26" s="1"/>
  <c r="AD24" i="1"/>
  <c r="AD6" i="1"/>
  <c r="AD55" i="1"/>
  <c r="K3" i="25"/>
  <c r="K15" i="25" s="1"/>
  <c r="M24" i="3" s="1"/>
  <c r="K3" i="16"/>
  <c r="K15" i="16" s="1"/>
  <c r="L3" i="25"/>
  <c r="L3" i="16"/>
  <c r="I15" i="25"/>
  <c r="H51" i="25"/>
  <c r="H30" i="25"/>
  <c r="H114" i="25"/>
  <c r="F79" i="25"/>
  <c r="G115" i="25"/>
  <c r="D118" i="25"/>
  <c r="E82" i="25"/>
  <c r="L40" i="3"/>
  <c r="J3" i="25"/>
  <c r="J3" i="16"/>
  <c r="G31" i="25"/>
  <c r="F116" i="25"/>
  <c r="D27" i="25"/>
  <c r="F32" i="25"/>
  <c r="D81" i="25"/>
  <c r="E33" i="25"/>
  <c r="I3" i="16"/>
  <c r="D120" i="25"/>
  <c r="I8" i="25"/>
  <c r="D34" i="25"/>
  <c r="M40" i="3"/>
  <c r="F53" i="25"/>
  <c r="E56" i="25"/>
  <c r="K40" i="3"/>
  <c r="E117" i="25"/>
  <c r="E54" i="25"/>
  <c r="E80" i="25"/>
  <c r="G52" i="25"/>
  <c r="D55" i="25"/>
  <c r="H77" i="25"/>
  <c r="G117" i="25"/>
  <c r="AD25" i="1" l="1"/>
  <c r="AD23" i="1" s="1"/>
  <c r="AD76" i="1"/>
  <c r="AD35" i="1"/>
  <c r="AD26" i="26" s="1"/>
  <c r="H116" i="25"/>
  <c r="F34" i="25"/>
  <c r="F27" i="25"/>
  <c r="G54" i="25"/>
  <c r="F55" i="25"/>
  <c r="AD22" i="1"/>
  <c r="F118" i="25"/>
  <c r="H32" i="25"/>
  <c r="K8" i="25"/>
  <c r="F81" i="25"/>
  <c r="G80" i="25"/>
  <c r="H79" i="25"/>
  <c r="E119" i="25"/>
  <c r="D57" i="25"/>
  <c r="D83" i="25"/>
  <c r="D63" i="16"/>
  <c r="D92" i="16"/>
  <c r="E37" i="16"/>
  <c r="E62" i="16"/>
  <c r="E28" i="16"/>
  <c r="E91" i="16"/>
  <c r="F36" i="16"/>
  <c r="F61" i="16"/>
  <c r="F90" i="16"/>
  <c r="G89" i="16"/>
  <c r="G35" i="16"/>
  <c r="G60" i="16"/>
  <c r="H59" i="16"/>
  <c r="H34" i="16"/>
  <c r="H88" i="16"/>
  <c r="H53" i="25"/>
  <c r="D28" i="16"/>
  <c r="D91" i="16"/>
  <c r="D62" i="16"/>
  <c r="D37" i="16"/>
  <c r="E36" i="16"/>
  <c r="E61" i="16"/>
  <c r="E90" i="16"/>
  <c r="F35" i="16"/>
  <c r="F89" i="16"/>
  <c r="F60" i="16"/>
  <c r="G34" i="16"/>
  <c r="G59" i="16"/>
  <c r="G88" i="16"/>
  <c r="H33" i="16"/>
  <c r="H87" i="16"/>
  <c r="H58" i="16"/>
  <c r="D64" i="16"/>
  <c r="D93" i="16"/>
  <c r="E92" i="16"/>
  <c r="E63" i="16"/>
  <c r="F37" i="16"/>
  <c r="F62" i="16"/>
  <c r="F91" i="16"/>
  <c r="F28" i="16"/>
  <c r="G90" i="16"/>
  <c r="G36" i="16"/>
  <c r="G61" i="16"/>
  <c r="H89" i="16"/>
  <c r="H60" i="16"/>
  <c r="H35" i="16"/>
  <c r="D65" i="16"/>
  <c r="D94" i="16"/>
  <c r="E93" i="16"/>
  <c r="E64" i="16"/>
  <c r="F92" i="16"/>
  <c r="F63" i="16"/>
  <c r="G37" i="16"/>
  <c r="G62" i="16"/>
  <c r="G91" i="16"/>
  <c r="G28" i="16"/>
  <c r="H36" i="16"/>
  <c r="H90" i="16"/>
  <c r="H61" i="16"/>
  <c r="I29" i="2"/>
  <c r="K8" i="16"/>
  <c r="G33" i="25"/>
  <c r="I98" i="25"/>
  <c r="I145" i="25"/>
  <c r="L15" i="16"/>
  <c r="L8" i="16"/>
  <c r="J15" i="16"/>
  <c r="J8" i="16"/>
  <c r="I36" i="25"/>
  <c r="M3" i="25"/>
  <c r="M3" i="16"/>
  <c r="I28" i="2"/>
  <c r="M23" i="3"/>
  <c r="J15" i="25"/>
  <c r="G32" i="25"/>
  <c r="F54" i="25"/>
  <c r="F80" i="25"/>
  <c r="H115" i="25"/>
  <c r="J8" i="25"/>
  <c r="D56" i="25"/>
  <c r="E55" i="25"/>
  <c r="H31" i="25"/>
  <c r="G79" i="25"/>
  <c r="G53" i="25"/>
  <c r="E118" i="25"/>
  <c r="G116" i="25"/>
  <c r="E81" i="25"/>
  <c r="H52" i="25"/>
  <c r="F117" i="25"/>
  <c r="E34" i="25"/>
  <c r="H78" i="25"/>
  <c r="E27" i="25"/>
  <c r="D82" i="25"/>
  <c r="F33" i="25"/>
  <c r="D119" i="25"/>
  <c r="I62" i="25"/>
  <c r="D58" i="25"/>
  <c r="F119" i="25"/>
  <c r="H54" i="25"/>
  <c r="G81" i="25"/>
  <c r="H33" i="25"/>
  <c r="F56" i="25"/>
  <c r="D121" i="25"/>
  <c r="H117" i="25"/>
  <c r="L8" i="25"/>
  <c r="D84" i="25"/>
  <c r="E120" i="25"/>
  <c r="G118" i="25"/>
  <c r="L15" i="25"/>
  <c r="H80" i="25"/>
  <c r="F82" i="25"/>
  <c r="G34" i="25"/>
  <c r="E57" i="25"/>
  <c r="E83" i="25"/>
  <c r="G55" i="25"/>
  <c r="I15" i="16"/>
  <c r="I8" i="16"/>
  <c r="K24" i="3"/>
  <c r="G29" i="2"/>
  <c r="N40" i="3"/>
  <c r="AD36" i="1" l="1"/>
  <c r="AD28" i="26" s="1"/>
  <c r="AD79" i="1"/>
  <c r="M62" i="3"/>
  <c r="L62" i="3"/>
  <c r="AD39" i="26"/>
  <c r="N62" i="3"/>
  <c r="K62" i="3"/>
  <c r="AD43" i="1"/>
  <c r="AD80" i="1"/>
  <c r="D66" i="16"/>
  <c r="D95" i="16"/>
  <c r="E94" i="16"/>
  <c r="E65" i="16"/>
  <c r="F93" i="16"/>
  <c r="F64" i="16"/>
  <c r="G92" i="16"/>
  <c r="G63" i="16"/>
  <c r="H91" i="16"/>
  <c r="H37" i="16"/>
  <c r="H28" i="16"/>
  <c r="H62" i="16"/>
  <c r="I27" i="2"/>
  <c r="F30" i="16"/>
  <c r="I69" i="16"/>
  <c r="D30" i="16"/>
  <c r="G28" i="2"/>
  <c r="K23" i="3"/>
  <c r="N3" i="25"/>
  <c r="G27" i="25" s="1"/>
  <c r="N3" i="16"/>
  <c r="N8" i="16" s="1"/>
  <c r="G30" i="16"/>
  <c r="O40" i="3"/>
  <c r="E30" i="16"/>
  <c r="I118" i="16"/>
  <c r="N24" i="3"/>
  <c r="J29" i="2"/>
  <c r="M15" i="16"/>
  <c r="M8" i="16"/>
  <c r="I11" i="25"/>
  <c r="H28" i="2"/>
  <c r="L23" i="3"/>
  <c r="I39" i="16"/>
  <c r="L24" i="3"/>
  <c r="H29" i="2"/>
  <c r="M15" i="25"/>
  <c r="F120" i="25"/>
  <c r="F57" i="25"/>
  <c r="E84" i="25"/>
  <c r="H118" i="25"/>
  <c r="H27" i="25"/>
  <c r="D122" i="25"/>
  <c r="D59" i="25"/>
  <c r="M8" i="25"/>
  <c r="H34" i="25"/>
  <c r="E121" i="25"/>
  <c r="G56" i="25"/>
  <c r="F83" i="25"/>
  <c r="H55" i="25"/>
  <c r="G82" i="25"/>
  <c r="D85" i="25"/>
  <c r="H81" i="25"/>
  <c r="E58" i="25"/>
  <c r="G119" i="25"/>
  <c r="N23" i="3"/>
  <c r="J28" i="2"/>
  <c r="K58" i="3" l="1"/>
  <c r="O62" i="3"/>
  <c r="AD45" i="1"/>
  <c r="AD88" i="1"/>
  <c r="G27" i="2"/>
  <c r="K22" i="3" s="1"/>
  <c r="AG42" i="1"/>
  <c r="D96" i="16"/>
  <c r="D53" i="16"/>
  <c r="D67" i="16"/>
  <c r="E66" i="16"/>
  <c r="E95" i="16"/>
  <c r="F94" i="16"/>
  <c r="F65" i="16"/>
  <c r="G93" i="16"/>
  <c r="G64" i="16"/>
  <c r="H63" i="16"/>
  <c r="H92" i="16"/>
  <c r="M22" i="3"/>
  <c r="J27" i="2"/>
  <c r="H27" i="2"/>
  <c r="P40" i="3"/>
  <c r="I11" i="16"/>
  <c r="H30" i="16"/>
  <c r="K28" i="2"/>
  <c r="O23" i="3"/>
  <c r="I12" i="25"/>
  <c r="K43" i="3"/>
  <c r="O24" i="3"/>
  <c r="K29" i="2"/>
  <c r="F84" i="25"/>
  <c r="E122" i="25"/>
  <c r="N8" i="25"/>
  <c r="P62" i="3" s="1"/>
  <c r="G83" i="25"/>
  <c r="F121" i="25"/>
  <c r="G57" i="25"/>
  <c r="H56" i="25"/>
  <c r="H119" i="25"/>
  <c r="D123" i="25"/>
  <c r="D60" i="25"/>
  <c r="E85" i="25"/>
  <c r="H82" i="25"/>
  <c r="D86" i="25"/>
  <c r="G120" i="25"/>
  <c r="E59" i="25"/>
  <c r="F58" i="25"/>
  <c r="D48" i="25"/>
  <c r="K54" i="3" l="1"/>
  <c r="L58" i="3"/>
  <c r="AG86" i="1"/>
  <c r="AF42" i="1"/>
  <c r="AE42" i="1"/>
  <c r="AH42" i="1"/>
  <c r="AD18" i="22"/>
  <c r="AD19" i="22" s="1"/>
  <c r="AD90" i="1"/>
  <c r="N22" i="3"/>
  <c r="L22" i="3"/>
  <c r="D55" i="16"/>
  <c r="K27" i="2"/>
  <c r="P3" i="16"/>
  <c r="P3" i="25"/>
  <c r="I12" i="16"/>
  <c r="K42" i="3"/>
  <c r="G10" i="2"/>
  <c r="D124" i="25"/>
  <c r="F59" i="25"/>
  <c r="G84" i="25"/>
  <c r="G58" i="25"/>
  <c r="H83" i="25"/>
  <c r="E123" i="25"/>
  <c r="G121" i="25"/>
  <c r="E60" i="25"/>
  <c r="F85" i="25"/>
  <c r="E48" i="25"/>
  <c r="H57" i="25"/>
  <c r="F122" i="25"/>
  <c r="D87" i="25"/>
  <c r="E86" i="25"/>
  <c r="H120" i="25"/>
  <c r="L54" i="3" l="1"/>
  <c r="M58" i="3"/>
  <c r="AG16" i="22"/>
  <c r="AG87" i="1"/>
  <c r="AF86" i="1"/>
  <c r="AI42" i="1"/>
  <c r="AE86" i="1"/>
  <c r="AH86" i="1"/>
  <c r="D98" i="16"/>
  <c r="E97" i="16"/>
  <c r="F67" i="16"/>
  <c r="F96" i="16"/>
  <c r="G66" i="16"/>
  <c r="G95" i="16"/>
  <c r="H94" i="16"/>
  <c r="H65" i="16"/>
  <c r="O22" i="3"/>
  <c r="E55" i="16"/>
  <c r="K41" i="3"/>
  <c r="G8" i="2"/>
  <c r="Q3" i="16"/>
  <c r="F53" i="16" s="1"/>
  <c r="Q3" i="25"/>
  <c r="G59" i="25"/>
  <c r="F48" i="25"/>
  <c r="H121" i="25"/>
  <c r="G122" i="25"/>
  <c r="G85" i="25"/>
  <c r="D88" i="25"/>
  <c r="F86" i="25"/>
  <c r="F123" i="25"/>
  <c r="E124" i="25"/>
  <c r="H84" i="25"/>
  <c r="D125" i="25"/>
  <c r="F60" i="25"/>
  <c r="E87" i="25"/>
  <c r="H58" i="25"/>
  <c r="M54" i="3" l="1"/>
  <c r="N58" i="3"/>
  <c r="AI86" i="1"/>
  <c r="AF16" i="22"/>
  <c r="AF87" i="1"/>
  <c r="AE16" i="22"/>
  <c r="AE87" i="1"/>
  <c r="K44" i="3"/>
  <c r="AH16" i="22"/>
  <c r="AH87" i="1"/>
  <c r="D99" i="16"/>
  <c r="E98" i="16"/>
  <c r="F97" i="16"/>
  <c r="G96" i="16"/>
  <c r="G67" i="16"/>
  <c r="H66" i="16"/>
  <c r="H95" i="16"/>
  <c r="G7" i="2"/>
  <c r="E88" i="25"/>
  <c r="F124" i="25"/>
  <c r="H59" i="25"/>
  <c r="D89" i="25"/>
  <c r="D126" i="25"/>
  <c r="H122" i="25"/>
  <c r="E125" i="25"/>
  <c r="H85" i="25"/>
  <c r="G60" i="25"/>
  <c r="F87" i="25"/>
  <c r="G86" i="25"/>
  <c r="G123" i="25"/>
  <c r="R3" i="25"/>
  <c r="R3" i="16"/>
  <c r="F55" i="16"/>
  <c r="N54" i="3" l="1"/>
  <c r="O58" i="3"/>
  <c r="AI87" i="1"/>
  <c r="AI16" i="22"/>
  <c r="AE31" i="1"/>
  <c r="AE27" i="26" s="1"/>
  <c r="G17" i="2"/>
  <c r="D100" i="16"/>
  <c r="E99" i="16"/>
  <c r="F98" i="16"/>
  <c r="G97" i="16"/>
  <c r="H96" i="16"/>
  <c r="H67" i="16"/>
  <c r="H86" i="25"/>
  <c r="H48" i="25"/>
  <c r="G87" i="25"/>
  <c r="H60" i="25"/>
  <c r="G124" i="25"/>
  <c r="F125" i="25"/>
  <c r="D127" i="25"/>
  <c r="E126" i="25"/>
  <c r="E89" i="25"/>
  <c r="H123" i="25"/>
  <c r="D90" i="25"/>
  <c r="F88" i="25"/>
  <c r="S3" i="16"/>
  <c r="G53" i="16" s="1"/>
  <c r="G55" i="16" s="1"/>
  <c r="S3" i="25"/>
  <c r="G48" i="25" s="1"/>
  <c r="P58" i="3" l="1"/>
  <c r="O54" i="3"/>
  <c r="AE75" i="1"/>
  <c r="K66" i="3"/>
  <c r="G19" i="2"/>
  <c r="D101" i="16"/>
  <c r="E100" i="16"/>
  <c r="F99" i="16"/>
  <c r="G98" i="16"/>
  <c r="H97" i="16"/>
  <c r="T3" i="25"/>
  <c r="T3" i="16"/>
  <c r="G125" i="25"/>
  <c r="F126" i="25"/>
  <c r="D128" i="25"/>
  <c r="H124" i="25"/>
  <c r="E127" i="25"/>
  <c r="D91" i="25"/>
  <c r="F89" i="25"/>
  <c r="E90" i="25"/>
  <c r="H87" i="25"/>
  <c r="G88" i="25"/>
  <c r="P54" i="3" l="1"/>
  <c r="Q58" i="3"/>
  <c r="G21" i="2"/>
  <c r="G26" i="2"/>
  <c r="G40" i="2"/>
  <c r="D102" i="16"/>
  <c r="E101" i="16"/>
  <c r="F100" i="16"/>
  <c r="G99" i="16"/>
  <c r="H98" i="16"/>
  <c r="H88" i="25"/>
  <c r="F90" i="25"/>
  <c r="E91" i="25"/>
  <c r="F127" i="25"/>
  <c r="G89" i="25"/>
  <c r="D129" i="25"/>
  <c r="D92" i="25"/>
  <c r="H125" i="25"/>
  <c r="G126" i="25"/>
  <c r="E128" i="25"/>
  <c r="U3" i="25"/>
  <c r="U3" i="16"/>
  <c r="H53" i="16" s="1"/>
  <c r="H55" i="16" s="1"/>
  <c r="Q54" i="3" l="1"/>
  <c r="G25" i="2"/>
  <c r="I4" i="25" s="1"/>
  <c r="K18" i="3" s="1"/>
  <c r="K16" i="3"/>
  <c r="G20" i="2"/>
  <c r="I5" i="15" s="1"/>
  <c r="K6" i="3" s="1"/>
  <c r="D103" i="16"/>
  <c r="E102" i="16"/>
  <c r="F101" i="16"/>
  <c r="G100" i="16"/>
  <c r="H99" i="16"/>
  <c r="V3" i="16"/>
  <c r="V3" i="25"/>
  <c r="D93" i="25"/>
  <c r="G127" i="25"/>
  <c r="H89" i="25"/>
  <c r="F91" i="25"/>
  <c r="E129" i="25"/>
  <c r="F128" i="25"/>
  <c r="G90" i="25"/>
  <c r="D130" i="25"/>
  <c r="H126" i="25"/>
  <c r="E92" i="25"/>
  <c r="I4" i="16" l="1"/>
  <c r="I6" i="16" s="1"/>
  <c r="I9" i="16" s="1"/>
  <c r="I3" i="14"/>
  <c r="I6" i="25"/>
  <c r="I9" i="25" s="1"/>
  <c r="I107" i="25"/>
  <c r="I109" i="25" s="1"/>
  <c r="I110" i="25" s="1"/>
  <c r="I126" i="25" s="1"/>
  <c r="I70" i="25"/>
  <c r="I72" i="25" s="1"/>
  <c r="I73" i="25" s="1"/>
  <c r="I89" i="25" s="1"/>
  <c r="I7" i="25"/>
  <c r="I23" i="25"/>
  <c r="I25" i="25" s="1"/>
  <c r="I26" i="25" s="1"/>
  <c r="I34" i="25" s="1"/>
  <c r="I44" i="25"/>
  <c r="I46" i="25" s="1"/>
  <c r="I47" i="25" s="1"/>
  <c r="I7" i="15"/>
  <c r="I8" i="15"/>
  <c r="I10" i="15" s="1"/>
  <c r="K74" i="3" s="1"/>
  <c r="I118" i="15"/>
  <c r="I120" i="15" s="1"/>
  <c r="I121" i="15" s="1"/>
  <c r="I49" i="15"/>
  <c r="I51" i="15" s="1"/>
  <c r="I52" i="15" s="1"/>
  <c r="I78" i="15"/>
  <c r="I80" i="15" s="1"/>
  <c r="I81" i="15" s="1"/>
  <c r="I25" i="15"/>
  <c r="I27" i="15" s="1"/>
  <c r="I28" i="15" s="1"/>
  <c r="K25" i="3"/>
  <c r="D104" i="16"/>
  <c r="E103" i="16"/>
  <c r="F102" i="16"/>
  <c r="G101" i="16"/>
  <c r="H100" i="16"/>
  <c r="F92" i="25"/>
  <c r="E93" i="25"/>
  <c r="G128" i="25"/>
  <c r="E130" i="25"/>
  <c r="H90" i="25"/>
  <c r="G91" i="25"/>
  <c r="D94" i="25"/>
  <c r="H127" i="25"/>
  <c r="F129" i="25"/>
  <c r="D131" i="25"/>
  <c r="W3" i="16"/>
  <c r="W3" i="25"/>
  <c r="I19" i="14" l="1"/>
  <c r="I21" i="14" s="1"/>
  <c r="N8" i="14" s="1"/>
  <c r="K5" i="3"/>
  <c r="I78" i="16"/>
  <c r="I80" i="16" s="1"/>
  <c r="I81" i="16" s="1"/>
  <c r="I99" i="16" s="1"/>
  <c r="K17" i="3"/>
  <c r="I24" i="16"/>
  <c r="I26" i="16" s="1"/>
  <c r="I27" i="16" s="1"/>
  <c r="N14" i="16" s="1"/>
  <c r="I49" i="16"/>
  <c r="I51" i="16" s="1"/>
  <c r="I52" i="16" s="1"/>
  <c r="I60" i="16" s="1"/>
  <c r="I7" i="16"/>
  <c r="I101" i="14"/>
  <c r="I103" i="14" s="1"/>
  <c r="I130" i="14" s="1"/>
  <c r="I68" i="14"/>
  <c r="I70" i="14" s="1"/>
  <c r="I81" i="14" s="1"/>
  <c r="I41" i="14"/>
  <c r="I43" i="14" s="1"/>
  <c r="I52" i="14" s="1"/>
  <c r="I5" i="14"/>
  <c r="K63" i="3"/>
  <c r="I27" i="25"/>
  <c r="I31" i="25"/>
  <c r="N14" i="25"/>
  <c r="N15" i="25" s="1"/>
  <c r="P24" i="3" s="1"/>
  <c r="I33" i="25"/>
  <c r="I32" i="25"/>
  <c r="I30" i="25"/>
  <c r="J36" i="25" s="1"/>
  <c r="I29" i="15"/>
  <c r="I35" i="15"/>
  <c r="I36" i="15"/>
  <c r="I34" i="15"/>
  <c r="J40" i="15" s="1"/>
  <c r="N15" i="15"/>
  <c r="I38" i="15"/>
  <c r="I37" i="15"/>
  <c r="J13" i="15"/>
  <c r="J14" i="15" s="1"/>
  <c r="H16" i="2" s="1"/>
  <c r="K76" i="3"/>
  <c r="K70" i="3"/>
  <c r="I58" i="25"/>
  <c r="I55" i="25"/>
  <c r="I54" i="25"/>
  <c r="I51" i="25"/>
  <c r="J62" i="25" s="1"/>
  <c r="I52" i="25"/>
  <c r="I59" i="25"/>
  <c r="I48" i="25"/>
  <c r="I53" i="25"/>
  <c r="I57" i="25"/>
  <c r="I60" i="25"/>
  <c r="I56" i="25"/>
  <c r="I119" i="25"/>
  <c r="I122" i="25"/>
  <c r="I121" i="25"/>
  <c r="I117" i="25"/>
  <c r="I123" i="25"/>
  <c r="I125" i="25"/>
  <c r="I124" i="25"/>
  <c r="I114" i="25"/>
  <c r="J145" i="25" s="1"/>
  <c r="I118" i="25"/>
  <c r="I116" i="25"/>
  <c r="I115" i="25"/>
  <c r="I120" i="25"/>
  <c r="I82" i="15"/>
  <c r="I106" i="15"/>
  <c r="I92" i="15"/>
  <c r="I103" i="15"/>
  <c r="I93" i="15"/>
  <c r="I105" i="15"/>
  <c r="I102" i="15"/>
  <c r="I101" i="15"/>
  <c r="I96" i="15"/>
  <c r="I95" i="15"/>
  <c r="I94" i="15"/>
  <c r="I104" i="15"/>
  <c r="I100" i="15"/>
  <c r="I88" i="15"/>
  <c r="I91" i="15"/>
  <c r="I89" i="15"/>
  <c r="I98" i="15"/>
  <c r="I87" i="15"/>
  <c r="J108" i="15" s="1"/>
  <c r="I99" i="15"/>
  <c r="I90" i="15"/>
  <c r="I97" i="15"/>
  <c r="K15" i="3"/>
  <c r="I53" i="15"/>
  <c r="I62" i="15"/>
  <c r="I60" i="15"/>
  <c r="I64" i="15"/>
  <c r="I67" i="15"/>
  <c r="I63" i="15"/>
  <c r="I65" i="15"/>
  <c r="I61" i="15"/>
  <c r="I59" i="15"/>
  <c r="I58" i="15"/>
  <c r="J69" i="15" s="1"/>
  <c r="I66" i="15"/>
  <c r="AE40" i="1"/>
  <c r="I122" i="15"/>
  <c r="I137" i="15"/>
  <c r="I134" i="15"/>
  <c r="I148" i="15"/>
  <c r="I152" i="15"/>
  <c r="I140" i="15"/>
  <c r="I153" i="15"/>
  <c r="I155" i="15"/>
  <c r="I130" i="15"/>
  <c r="I129" i="15"/>
  <c r="I149" i="15"/>
  <c r="I127" i="15"/>
  <c r="J158" i="15" s="1"/>
  <c r="I156" i="15"/>
  <c r="I143" i="15"/>
  <c r="I147" i="15"/>
  <c r="I136" i="15"/>
  <c r="I150" i="15"/>
  <c r="I154" i="15"/>
  <c r="I138" i="15"/>
  <c r="I132" i="15"/>
  <c r="I144" i="15"/>
  <c r="I141" i="15"/>
  <c r="I128" i="15"/>
  <c r="I131" i="15"/>
  <c r="I145" i="15"/>
  <c r="I151" i="15"/>
  <c r="I142" i="15"/>
  <c r="I135" i="15"/>
  <c r="I146" i="15"/>
  <c r="I133" i="15"/>
  <c r="I139" i="15"/>
  <c r="K27" i="3"/>
  <c r="I87" i="25"/>
  <c r="I84" i="25"/>
  <c r="I82" i="25"/>
  <c r="I86" i="25"/>
  <c r="I77" i="25"/>
  <c r="J98" i="25" s="1"/>
  <c r="I88" i="25"/>
  <c r="I83" i="25"/>
  <c r="I80" i="25"/>
  <c r="I81" i="25"/>
  <c r="I78" i="25"/>
  <c r="I85" i="25"/>
  <c r="I79" i="25"/>
  <c r="D105" i="16"/>
  <c r="E104" i="16"/>
  <c r="F103" i="16"/>
  <c r="G102" i="16"/>
  <c r="H101" i="16"/>
  <c r="H128" i="25"/>
  <c r="D95" i="25"/>
  <c r="G92" i="25"/>
  <c r="D132" i="25"/>
  <c r="E131" i="25"/>
  <c r="F93" i="25"/>
  <c r="F130" i="25"/>
  <c r="G129" i="25"/>
  <c r="E94" i="25"/>
  <c r="H91" i="25"/>
  <c r="I90" i="25"/>
  <c r="I127" i="25"/>
  <c r="X3" i="16"/>
  <c r="X3" i="25"/>
  <c r="K4" i="3" l="1"/>
  <c r="I28" i="14"/>
  <c r="K59" i="3"/>
  <c r="I95" i="16"/>
  <c r="I92" i="16"/>
  <c r="I27" i="14"/>
  <c r="I54" i="14"/>
  <c r="I96" i="16"/>
  <c r="I91" i="16"/>
  <c r="I30" i="14"/>
  <c r="I94" i="16"/>
  <c r="I89" i="16"/>
  <c r="I65" i="16"/>
  <c r="I53" i="16"/>
  <c r="I53" i="14"/>
  <c r="I37" i="16"/>
  <c r="I80" i="14"/>
  <c r="I97" i="16"/>
  <c r="I88" i="16"/>
  <c r="I90" i="16"/>
  <c r="I100" i="16"/>
  <c r="I87" i="16"/>
  <c r="J118" i="16" s="1"/>
  <c r="I98" i="16"/>
  <c r="I93" i="16"/>
  <c r="I85" i="14"/>
  <c r="I86" i="14"/>
  <c r="I67" i="16"/>
  <c r="I78" i="14"/>
  <c r="I128" i="14"/>
  <c r="I79" i="14"/>
  <c r="I89" i="14"/>
  <c r="I75" i="14"/>
  <c r="J91" i="14" s="1"/>
  <c r="I84" i="14"/>
  <c r="I34" i="16"/>
  <c r="I29" i="14"/>
  <c r="I88" i="14"/>
  <c r="I36" i="16"/>
  <c r="I82" i="14"/>
  <c r="I87" i="14"/>
  <c r="I83" i="14"/>
  <c r="I28" i="16"/>
  <c r="I76" i="14"/>
  <c r="I77" i="14"/>
  <c r="I33" i="16"/>
  <c r="J39" i="16" s="1"/>
  <c r="I35" i="16"/>
  <c r="I26" i="14"/>
  <c r="J32" i="14" s="1"/>
  <c r="I137" i="14"/>
  <c r="I111" i="14"/>
  <c r="K26" i="3"/>
  <c r="I127" i="14"/>
  <c r="I136" i="14"/>
  <c r="I116" i="14"/>
  <c r="I108" i="14"/>
  <c r="J139" i="14" s="1"/>
  <c r="I129" i="14"/>
  <c r="I133" i="14"/>
  <c r="I114" i="14"/>
  <c r="I109" i="14"/>
  <c r="I125" i="14"/>
  <c r="I113" i="14"/>
  <c r="I126" i="14"/>
  <c r="I121" i="14"/>
  <c r="I117" i="14"/>
  <c r="I124" i="14"/>
  <c r="I110" i="14"/>
  <c r="I135" i="14"/>
  <c r="I134" i="14"/>
  <c r="I112" i="14"/>
  <c r="I123" i="14"/>
  <c r="I118" i="14"/>
  <c r="I119" i="14"/>
  <c r="I131" i="14"/>
  <c r="I132" i="14"/>
  <c r="I120" i="14"/>
  <c r="I122" i="14"/>
  <c r="I115" i="14"/>
  <c r="I58" i="16"/>
  <c r="J69" i="16" s="1"/>
  <c r="K14" i="3"/>
  <c r="I48" i="14"/>
  <c r="J59" i="14" s="1"/>
  <c r="I49" i="14"/>
  <c r="I59" i="16"/>
  <c r="I64" i="16"/>
  <c r="I62" i="16"/>
  <c r="I56" i="14"/>
  <c r="I55" i="14"/>
  <c r="I50" i="14"/>
  <c r="I63" i="16"/>
  <c r="I61" i="16"/>
  <c r="I66" i="16"/>
  <c r="I51" i="14"/>
  <c r="I57" i="14"/>
  <c r="K65" i="3"/>
  <c r="L29" i="2"/>
  <c r="J11" i="25"/>
  <c r="J12" i="25" s="1"/>
  <c r="AE84" i="1"/>
  <c r="P64" i="3"/>
  <c r="N15" i="16"/>
  <c r="P75" i="3"/>
  <c r="N16" i="15"/>
  <c r="I55" i="15"/>
  <c r="H14" i="2"/>
  <c r="L38" i="3"/>
  <c r="J11" i="15"/>
  <c r="L32" i="3" s="1"/>
  <c r="K61" i="3"/>
  <c r="I124" i="15"/>
  <c r="K51" i="3"/>
  <c r="K72" i="3"/>
  <c r="P11" i="3"/>
  <c r="L23" i="2"/>
  <c r="I84" i="15"/>
  <c r="I31" i="15"/>
  <c r="D106" i="16"/>
  <c r="E105" i="16"/>
  <c r="F104" i="16"/>
  <c r="G103" i="16"/>
  <c r="H102" i="16"/>
  <c r="I101" i="16"/>
  <c r="Y3" i="25"/>
  <c r="Y3" i="16"/>
  <c r="E132" i="25"/>
  <c r="E95" i="25"/>
  <c r="F131" i="25"/>
  <c r="G93" i="25"/>
  <c r="D96" i="25"/>
  <c r="H92" i="25"/>
  <c r="D133" i="25"/>
  <c r="F94" i="25"/>
  <c r="H129" i="25"/>
  <c r="D74" i="25"/>
  <c r="G130" i="25"/>
  <c r="I91" i="25"/>
  <c r="I128" i="25"/>
  <c r="K55" i="3" l="1"/>
  <c r="J11" i="16"/>
  <c r="H10" i="2" s="1"/>
  <c r="I30" i="16"/>
  <c r="I72" i="14"/>
  <c r="I23" i="14"/>
  <c r="J6" i="14"/>
  <c r="H13" i="2" s="1"/>
  <c r="I105" i="14"/>
  <c r="K50" i="3"/>
  <c r="I55" i="16"/>
  <c r="K13" i="3"/>
  <c r="I45" i="14"/>
  <c r="L43" i="3"/>
  <c r="L39" i="3"/>
  <c r="L28" i="2"/>
  <c r="P23" i="3"/>
  <c r="K56" i="3"/>
  <c r="P12" i="3"/>
  <c r="L24" i="2"/>
  <c r="I17" i="15"/>
  <c r="K35" i="3" s="1"/>
  <c r="D107" i="16"/>
  <c r="E106" i="16"/>
  <c r="F105" i="16"/>
  <c r="G104" i="16"/>
  <c r="H103" i="16"/>
  <c r="I102" i="16"/>
  <c r="E133" i="25"/>
  <c r="G94" i="25"/>
  <c r="E74" i="25"/>
  <c r="F95" i="25"/>
  <c r="F132" i="25"/>
  <c r="H93" i="25"/>
  <c r="G131" i="25"/>
  <c r="D134" i="25"/>
  <c r="E96" i="25"/>
  <c r="H130" i="25"/>
  <c r="I92" i="25"/>
  <c r="I129" i="25"/>
  <c r="Z3" i="16"/>
  <c r="Z3" i="25"/>
  <c r="P10" i="3" l="1"/>
  <c r="AE39" i="1"/>
  <c r="AE83" i="1" s="1"/>
  <c r="L42" i="3"/>
  <c r="J12" i="16"/>
  <c r="L31" i="3"/>
  <c r="I9" i="14"/>
  <c r="K34" i="3" s="1"/>
  <c r="K49" i="3"/>
  <c r="H11" i="2"/>
  <c r="AE13" i="1"/>
  <c r="L41" i="3"/>
  <c r="H8" i="2"/>
  <c r="L27" i="2"/>
  <c r="AF34" i="1"/>
  <c r="L22" i="2"/>
  <c r="D108" i="16"/>
  <c r="E107" i="16"/>
  <c r="F106" i="16"/>
  <c r="G105" i="16"/>
  <c r="H104" i="16"/>
  <c r="I103" i="16"/>
  <c r="AA3" i="16"/>
  <c r="AA3" i="25"/>
  <c r="F74" i="25" s="1"/>
  <c r="G95" i="25"/>
  <c r="E134" i="25"/>
  <c r="G132" i="25"/>
  <c r="D135" i="25"/>
  <c r="H94" i="25"/>
  <c r="F133" i="25"/>
  <c r="F96" i="25"/>
  <c r="H131" i="25"/>
  <c r="I93" i="25"/>
  <c r="I130" i="25"/>
  <c r="L30" i="3" l="1"/>
  <c r="K33" i="3"/>
  <c r="K53" i="3"/>
  <c r="AF78" i="1"/>
  <c r="AE10" i="1"/>
  <c r="AE57" i="1"/>
  <c r="AJ41" i="1"/>
  <c r="H7" i="2"/>
  <c r="L44" i="3"/>
  <c r="AJ42" i="1"/>
  <c r="P22" i="3"/>
  <c r="D109" i="16"/>
  <c r="E108" i="16"/>
  <c r="F107" i="16"/>
  <c r="G106" i="16"/>
  <c r="H105" i="16"/>
  <c r="I104" i="16"/>
  <c r="E135" i="25"/>
  <c r="H95" i="25"/>
  <c r="H132" i="25"/>
  <c r="D136" i="25"/>
  <c r="F134" i="25"/>
  <c r="G133" i="25"/>
  <c r="G96" i="25"/>
  <c r="I94" i="25"/>
  <c r="I131" i="25"/>
  <c r="AB3" i="25"/>
  <c r="AB3" i="16"/>
  <c r="AE33" i="1" l="1"/>
  <c r="AE77" i="1" s="1"/>
  <c r="K36" i="3"/>
  <c r="AE12" i="1"/>
  <c r="AE11" i="1" s="1"/>
  <c r="AJ85" i="1"/>
  <c r="AJ86" i="1"/>
  <c r="AE54" i="1"/>
  <c r="AE8" i="22" s="1"/>
  <c r="AE26" i="1"/>
  <c r="AF31" i="1"/>
  <c r="H17" i="2"/>
  <c r="D110" i="16"/>
  <c r="E109" i="16"/>
  <c r="F108" i="16"/>
  <c r="G107" i="16"/>
  <c r="H106" i="16"/>
  <c r="I105" i="16"/>
  <c r="AC3" i="16"/>
  <c r="AC3" i="25"/>
  <c r="G74" i="25" s="1"/>
  <c r="H74" i="25"/>
  <c r="H96" i="25"/>
  <c r="F135" i="25"/>
  <c r="E136" i="25"/>
  <c r="D137" i="25"/>
  <c r="G134" i="25"/>
  <c r="H133" i="25"/>
  <c r="I95" i="25"/>
  <c r="I132" i="25"/>
  <c r="AE32" i="1" l="1"/>
  <c r="AE35" i="1" s="1"/>
  <c r="AE26" i="26" s="1"/>
  <c r="AE9" i="1"/>
  <c r="AE7" i="1" s="1"/>
  <c r="AE8" i="1"/>
  <c r="AE24" i="1" s="1"/>
  <c r="AE56" i="1"/>
  <c r="AF27" i="26"/>
  <c r="AJ87" i="1"/>
  <c r="AE55" i="1"/>
  <c r="AJ16" i="22"/>
  <c r="AE70" i="1"/>
  <c r="H19" i="2"/>
  <c r="AF75" i="1"/>
  <c r="L66" i="3"/>
  <c r="D111" i="16"/>
  <c r="E110" i="16"/>
  <c r="F109" i="16"/>
  <c r="G108" i="16"/>
  <c r="H107" i="16"/>
  <c r="I106" i="16"/>
  <c r="AD3" i="16"/>
  <c r="AD3" i="25"/>
  <c r="D138" i="25"/>
  <c r="F136" i="25"/>
  <c r="H134" i="25"/>
  <c r="E137" i="25"/>
  <c r="G135" i="25"/>
  <c r="I96" i="25"/>
  <c r="I133" i="25"/>
  <c r="I74" i="25"/>
  <c r="AE25" i="1" l="1"/>
  <c r="AE23" i="1" s="1"/>
  <c r="AE25" i="26"/>
  <c r="AE76" i="1"/>
  <c r="AE6" i="1"/>
  <c r="H40" i="2"/>
  <c r="H21" i="2"/>
  <c r="H26" i="2"/>
  <c r="AE22" i="1"/>
  <c r="AE12" i="22"/>
  <c r="AE36" i="1"/>
  <c r="AE28" i="26" s="1"/>
  <c r="AE79" i="1"/>
  <c r="D112" i="16"/>
  <c r="E111" i="16"/>
  <c r="F110" i="16"/>
  <c r="G109" i="16"/>
  <c r="H108" i="16"/>
  <c r="I107" i="16"/>
  <c r="E138" i="25"/>
  <c r="G136" i="25"/>
  <c r="D139" i="25"/>
  <c r="F137" i="25"/>
  <c r="H135" i="25"/>
  <c r="I134" i="25"/>
  <c r="AE3" i="16"/>
  <c r="AE3" i="25"/>
  <c r="H20" i="2" l="1"/>
  <c r="J5" i="15" s="1"/>
  <c r="L6" i="3" s="1"/>
  <c r="AE43" i="1"/>
  <c r="AE80" i="1"/>
  <c r="H25" i="2"/>
  <c r="J4" i="25" s="1"/>
  <c r="L18" i="3" s="1"/>
  <c r="L16" i="3"/>
  <c r="D113" i="16"/>
  <c r="E112" i="16"/>
  <c r="F111" i="16"/>
  <c r="G110" i="16"/>
  <c r="H109" i="16"/>
  <c r="I108" i="16"/>
  <c r="AF3" i="25"/>
  <c r="AF3" i="16"/>
  <c r="E139" i="25"/>
  <c r="G137" i="25"/>
  <c r="F138" i="25"/>
  <c r="H136" i="25"/>
  <c r="D140" i="25"/>
  <c r="I135" i="25"/>
  <c r="J4" i="16" l="1"/>
  <c r="J3" i="14"/>
  <c r="J41" i="14" s="1"/>
  <c r="J43" i="14" s="1"/>
  <c r="AE45" i="1"/>
  <c r="AE88" i="1"/>
  <c r="L25" i="3"/>
  <c r="J118" i="15"/>
  <c r="J120" i="15" s="1"/>
  <c r="J121" i="15" s="1"/>
  <c r="J7" i="15"/>
  <c r="J78" i="15"/>
  <c r="J80" i="15" s="1"/>
  <c r="J81" i="15" s="1"/>
  <c r="J8" i="15"/>
  <c r="J10" i="15" s="1"/>
  <c r="L74" i="3" s="1"/>
  <c r="J25" i="15"/>
  <c r="J27" i="15" s="1"/>
  <c r="J28" i="15" s="1"/>
  <c r="O15" i="15" s="1"/>
  <c r="O16" i="15" s="1"/>
  <c r="J49" i="15"/>
  <c r="J51" i="15" s="1"/>
  <c r="J52" i="15" s="1"/>
  <c r="J44" i="25"/>
  <c r="J46" i="25" s="1"/>
  <c r="J47" i="25" s="1"/>
  <c r="J7" i="25"/>
  <c r="J70" i="25"/>
  <c r="J72" i="25" s="1"/>
  <c r="J73" i="25" s="1"/>
  <c r="J23" i="25"/>
  <c r="J25" i="25" s="1"/>
  <c r="J26" i="25" s="1"/>
  <c r="J107" i="25"/>
  <c r="J109" i="25" s="1"/>
  <c r="J110" i="25" s="1"/>
  <c r="J135" i="25" s="1"/>
  <c r="J6" i="25"/>
  <c r="J9" i="25" s="1"/>
  <c r="D114" i="16"/>
  <c r="E113" i="16"/>
  <c r="F112" i="16"/>
  <c r="G111" i="16"/>
  <c r="H110" i="16"/>
  <c r="I109" i="16"/>
  <c r="AG3" i="16"/>
  <c r="AG3" i="25"/>
  <c r="E140" i="25"/>
  <c r="H137" i="25"/>
  <c r="D141" i="25"/>
  <c r="F139" i="25"/>
  <c r="G138" i="25"/>
  <c r="I136" i="25"/>
  <c r="J19" i="14" l="1"/>
  <c r="J21" i="14" s="1"/>
  <c r="O8" i="14" s="1"/>
  <c r="J101" i="14"/>
  <c r="J103" i="14" s="1"/>
  <c r="J111" i="14" s="1"/>
  <c r="J5" i="14"/>
  <c r="L5" i="3"/>
  <c r="J7" i="16"/>
  <c r="L17" i="3"/>
  <c r="J68" i="14"/>
  <c r="J70" i="14" s="1"/>
  <c r="J83" i="14" s="1"/>
  <c r="J78" i="16"/>
  <c r="J80" i="16" s="1"/>
  <c r="J81" i="16" s="1"/>
  <c r="J108" i="16" s="1"/>
  <c r="J49" i="16"/>
  <c r="J51" i="16" s="1"/>
  <c r="J52" i="16" s="1"/>
  <c r="J67" i="16" s="1"/>
  <c r="J24" i="16"/>
  <c r="J26" i="16" s="1"/>
  <c r="J27" i="16" s="1"/>
  <c r="J28" i="16" s="1"/>
  <c r="J6" i="16"/>
  <c r="J9" i="16" s="1"/>
  <c r="L63" i="3" s="1"/>
  <c r="J116" i="25"/>
  <c r="J124" i="25"/>
  <c r="J123" i="25"/>
  <c r="J114" i="25"/>
  <c r="K145" i="25" s="1"/>
  <c r="J133" i="25"/>
  <c r="J119" i="25"/>
  <c r="J121" i="25"/>
  <c r="J129" i="25"/>
  <c r="J125" i="25"/>
  <c r="J117" i="25"/>
  <c r="J126" i="25"/>
  <c r="J122" i="25"/>
  <c r="J130" i="25"/>
  <c r="J118" i="25"/>
  <c r="J127" i="25"/>
  <c r="J128" i="25"/>
  <c r="J115" i="25"/>
  <c r="J131" i="25"/>
  <c r="J120" i="25"/>
  <c r="J132" i="25"/>
  <c r="J134" i="25"/>
  <c r="L76" i="3"/>
  <c r="L70" i="3"/>
  <c r="L15" i="3"/>
  <c r="AE90" i="1"/>
  <c r="J49" i="14"/>
  <c r="J54" i="14"/>
  <c r="J48" i="14"/>
  <c r="K59" i="14" s="1"/>
  <c r="J50" i="14"/>
  <c r="J51" i="14"/>
  <c r="J53" i="14"/>
  <c r="J57" i="14"/>
  <c r="J55" i="14"/>
  <c r="J56" i="14"/>
  <c r="J52" i="14"/>
  <c r="O14" i="25"/>
  <c r="O15" i="25" s="1"/>
  <c r="J31" i="25"/>
  <c r="J33" i="25"/>
  <c r="J32" i="25"/>
  <c r="J34" i="25"/>
  <c r="J30" i="25"/>
  <c r="K36" i="25" s="1"/>
  <c r="J27" i="25"/>
  <c r="J51" i="25"/>
  <c r="K62" i="25" s="1"/>
  <c r="J52" i="25"/>
  <c r="J56" i="25"/>
  <c r="J53" i="25"/>
  <c r="J48" i="25"/>
  <c r="J59" i="25"/>
  <c r="J60" i="25"/>
  <c r="J57" i="25"/>
  <c r="J58" i="25"/>
  <c r="J54" i="25"/>
  <c r="J55" i="25"/>
  <c r="J82" i="15"/>
  <c r="J88" i="15"/>
  <c r="J106" i="15"/>
  <c r="J95" i="15"/>
  <c r="J98" i="15"/>
  <c r="J89" i="15"/>
  <c r="J93" i="15"/>
  <c r="J91" i="15"/>
  <c r="J100" i="15"/>
  <c r="J97" i="15"/>
  <c r="J105" i="15"/>
  <c r="J99" i="15"/>
  <c r="J102" i="15"/>
  <c r="J94" i="15"/>
  <c r="J92" i="15"/>
  <c r="J87" i="15"/>
  <c r="K108" i="15" s="1"/>
  <c r="J96" i="15"/>
  <c r="J103" i="15"/>
  <c r="J90" i="15"/>
  <c r="J104" i="15"/>
  <c r="J101" i="15"/>
  <c r="J82" i="25"/>
  <c r="J78" i="25"/>
  <c r="J84" i="25"/>
  <c r="J79" i="25"/>
  <c r="J87" i="25"/>
  <c r="J81" i="25"/>
  <c r="J85" i="25"/>
  <c r="J89" i="25"/>
  <c r="J94" i="25"/>
  <c r="J90" i="25"/>
  <c r="J77" i="25"/>
  <c r="K98" i="25" s="1"/>
  <c r="J88" i="25"/>
  <c r="J92" i="25"/>
  <c r="J95" i="25"/>
  <c r="J93" i="25"/>
  <c r="J83" i="25"/>
  <c r="J91" i="25"/>
  <c r="J86" i="25"/>
  <c r="J80" i="25"/>
  <c r="J96" i="25"/>
  <c r="J74" i="25"/>
  <c r="J53" i="15"/>
  <c r="J62" i="15"/>
  <c r="J67" i="15"/>
  <c r="J60" i="15"/>
  <c r="J66" i="15"/>
  <c r="J64" i="15"/>
  <c r="J58" i="15"/>
  <c r="K69" i="15" s="1"/>
  <c r="J65" i="15"/>
  <c r="J61" i="15"/>
  <c r="J59" i="15"/>
  <c r="J63" i="15"/>
  <c r="AF40" i="1"/>
  <c r="L27" i="3"/>
  <c r="J38" i="15"/>
  <c r="J37" i="15"/>
  <c r="J34" i="15"/>
  <c r="K40" i="15" s="1"/>
  <c r="K13" i="15"/>
  <c r="K14" i="15" s="1"/>
  <c r="I16" i="2" s="1"/>
  <c r="J29" i="15"/>
  <c r="J35" i="15"/>
  <c r="J36" i="15"/>
  <c r="J122" i="15"/>
  <c r="J132" i="15"/>
  <c r="J130" i="15"/>
  <c r="J154" i="15"/>
  <c r="J127" i="15"/>
  <c r="K158" i="15" s="1"/>
  <c r="J128" i="15"/>
  <c r="J150" i="15"/>
  <c r="J133" i="15"/>
  <c r="J142" i="15"/>
  <c r="J151" i="15"/>
  <c r="J152" i="15"/>
  <c r="J144" i="15"/>
  <c r="J136" i="15"/>
  <c r="J141" i="15"/>
  <c r="J140" i="15"/>
  <c r="J155" i="15"/>
  <c r="J143" i="15"/>
  <c r="J147" i="15"/>
  <c r="J149" i="15"/>
  <c r="J139" i="15"/>
  <c r="J148" i="15"/>
  <c r="J137" i="15"/>
  <c r="J153" i="15"/>
  <c r="J145" i="15"/>
  <c r="J138" i="15"/>
  <c r="J146" i="15"/>
  <c r="J134" i="15"/>
  <c r="J129" i="15"/>
  <c r="J156" i="15"/>
  <c r="J131" i="15"/>
  <c r="J135" i="15"/>
  <c r="AE18" i="22"/>
  <c r="AE19" i="22" s="1"/>
  <c r="D115" i="16"/>
  <c r="E114" i="16"/>
  <c r="F113" i="16"/>
  <c r="G112" i="16"/>
  <c r="H111" i="16"/>
  <c r="I110" i="16"/>
  <c r="G139" i="25"/>
  <c r="H138" i="25"/>
  <c r="E141" i="25"/>
  <c r="D142" i="25"/>
  <c r="F140" i="25"/>
  <c r="I137" i="25"/>
  <c r="J136" i="25"/>
  <c r="AH3" i="25"/>
  <c r="AH3" i="16"/>
  <c r="J61" i="16" l="1"/>
  <c r="O14" i="16"/>
  <c r="Q64" i="3" s="1"/>
  <c r="L4" i="3"/>
  <c r="L26" i="3"/>
  <c r="J30" i="14"/>
  <c r="J27" i="14"/>
  <c r="J28" i="14"/>
  <c r="J26" i="14"/>
  <c r="K32" i="14" s="1"/>
  <c r="J29" i="14"/>
  <c r="J123" i="14"/>
  <c r="J78" i="14"/>
  <c r="J35" i="16"/>
  <c r="J109" i="16"/>
  <c r="J90" i="16"/>
  <c r="J96" i="16"/>
  <c r="J137" i="14"/>
  <c r="J132" i="14"/>
  <c r="J87" i="14"/>
  <c r="J85" i="14"/>
  <c r="J79" i="14"/>
  <c r="J106" i="16"/>
  <c r="J87" i="16"/>
  <c r="K118" i="16" s="1"/>
  <c r="J91" i="16"/>
  <c r="J102" i="16"/>
  <c r="J104" i="16"/>
  <c r="J99" i="16"/>
  <c r="J95" i="16"/>
  <c r="J117" i="14"/>
  <c r="J107" i="16"/>
  <c r="J101" i="16"/>
  <c r="J89" i="16"/>
  <c r="J94" i="16"/>
  <c r="J105" i="16"/>
  <c r="J100" i="16"/>
  <c r="L14" i="3"/>
  <c r="J127" i="14"/>
  <c r="J98" i="16"/>
  <c r="J97" i="16"/>
  <c r="J103" i="16"/>
  <c r="J92" i="16"/>
  <c r="J88" i="16"/>
  <c r="J93" i="16"/>
  <c r="J66" i="16"/>
  <c r="J53" i="16"/>
  <c r="J114" i="14"/>
  <c r="J81" i="14"/>
  <c r="J76" i="14"/>
  <c r="J89" i="14"/>
  <c r="J84" i="14"/>
  <c r="J80" i="14"/>
  <c r="J75" i="14"/>
  <c r="K91" i="14" s="1"/>
  <c r="J77" i="14"/>
  <c r="J82" i="14"/>
  <c r="J86" i="14"/>
  <c r="J88" i="14"/>
  <c r="J33" i="16"/>
  <c r="K39" i="16" s="1"/>
  <c r="J119" i="14"/>
  <c r="J113" i="14"/>
  <c r="J112" i="14"/>
  <c r="J128" i="14"/>
  <c r="J130" i="14"/>
  <c r="J116" i="14"/>
  <c r="J122" i="14"/>
  <c r="J37" i="16"/>
  <c r="J109" i="14"/>
  <c r="J125" i="14"/>
  <c r="J129" i="14"/>
  <c r="J124" i="14"/>
  <c r="J135" i="14"/>
  <c r="J121" i="14"/>
  <c r="J120" i="14"/>
  <c r="J34" i="16"/>
  <c r="J134" i="14"/>
  <c r="J115" i="14"/>
  <c r="J126" i="14"/>
  <c r="J133" i="14"/>
  <c r="J118" i="14"/>
  <c r="J110" i="14"/>
  <c r="J108" i="14"/>
  <c r="K139" i="14" s="1"/>
  <c r="J131" i="14"/>
  <c r="J136" i="14"/>
  <c r="J36" i="16"/>
  <c r="J63" i="16"/>
  <c r="J65" i="16"/>
  <c r="J59" i="16"/>
  <c r="J60" i="16"/>
  <c r="J58" i="16"/>
  <c r="K69" i="16" s="1"/>
  <c r="J64" i="16"/>
  <c r="J62" i="16"/>
  <c r="L65" i="3"/>
  <c r="L59" i="3"/>
  <c r="K11" i="25"/>
  <c r="J124" i="15"/>
  <c r="J31" i="15"/>
  <c r="J84" i="15"/>
  <c r="Q24" i="3"/>
  <c r="M29" i="2"/>
  <c r="J45" i="14"/>
  <c r="M38" i="3"/>
  <c r="I14" i="2"/>
  <c r="Q11" i="3"/>
  <c r="M23" i="2"/>
  <c r="AF84" i="1"/>
  <c r="L51" i="3"/>
  <c r="L72" i="3"/>
  <c r="Q75" i="3"/>
  <c r="K11" i="15"/>
  <c r="M32" i="3" s="1"/>
  <c r="J55" i="15"/>
  <c r="D116" i="16"/>
  <c r="D82" i="16"/>
  <c r="E115" i="16"/>
  <c r="F114" i="16"/>
  <c r="G113" i="16"/>
  <c r="H112" i="16"/>
  <c r="I111" i="16"/>
  <c r="J110" i="16"/>
  <c r="AI3" i="25"/>
  <c r="AI3" i="16"/>
  <c r="H139" i="25"/>
  <c r="D143" i="25"/>
  <c r="D111" i="25"/>
  <c r="E142" i="25"/>
  <c r="F141" i="25"/>
  <c r="G140" i="25"/>
  <c r="I138" i="25"/>
  <c r="J137" i="25"/>
  <c r="O15" i="16" l="1"/>
  <c r="M28" i="2" s="1"/>
  <c r="L13" i="3"/>
  <c r="J23" i="14"/>
  <c r="L50" i="3"/>
  <c r="K6" i="14"/>
  <c r="M31" i="3" s="1"/>
  <c r="J105" i="14"/>
  <c r="J72" i="14"/>
  <c r="K11" i="16"/>
  <c r="I10" i="2" s="1"/>
  <c r="J30" i="16"/>
  <c r="J55" i="16"/>
  <c r="J17" i="15"/>
  <c r="L35" i="3" s="1"/>
  <c r="Q23" i="3"/>
  <c r="M24" i="2"/>
  <c r="Q12" i="3"/>
  <c r="L55" i="3"/>
  <c r="L61" i="3"/>
  <c r="M39" i="3"/>
  <c r="K12" i="25"/>
  <c r="M43" i="3"/>
  <c r="E82" i="16"/>
  <c r="E116" i="16"/>
  <c r="F115" i="16"/>
  <c r="G114" i="16"/>
  <c r="H113" i="16"/>
  <c r="I112" i="16"/>
  <c r="J111" i="16"/>
  <c r="AJ3" i="16"/>
  <c r="AJ3" i="25"/>
  <c r="G141" i="25"/>
  <c r="F142" i="25"/>
  <c r="E143" i="25"/>
  <c r="E111" i="25"/>
  <c r="H140" i="25"/>
  <c r="I139" i="25"/>
  <c r="J138" i="25"/>
  <c r="D84" i="16"/>
  <c r="D16" i="16" s="1"/>
  <c r="AF39" i="1" l="1"/>
  <c r="L49" i="3"/>
  <c r="Q10" i="3"/>
  <c r="M30" i="3"/>
  <c r="I13" i="2"/>
  <c r="I11" i="2" s="1"/>
  <c r="J9" i="14"/>
  <c r="L34" i="3" s="1"/>
  <c r="K12" i="16"/>
  <c r="M42" i="3"/>
  <c r="M22" i="2"/>
  <c r="AG34" i="1"/>
  <c r="M27" i="2"/>
  <c r="M41" i="3"/>
  <c r="I8" i="2"/>
  <c r="L56" i="3"/>
  <c r="AF83" i="1"/>
  <c r="F116" i="16"/>
  <c r="G115" i="16"/>
  <c r="H114" i="16"/>
  <c r="I113" i="16"/>
  <c r="J112" i="16"/>
  <c r="AK3" i="25"/>
  <c r="AK3" i="16"/>
  <c r="E84" i="16"/>
  <c r="E16" i="16" s="1"/>
  <c r="F143" i="25"/>
  <c r="H141" i="25"/>
  <c r="F111" i="25"/>
  <c r="G142" i="25"/>
  <c r="I140" i="25"/>
  <c r="J139" i="25"/>
  <c r="L53" i="3" l="1"/>
  <c r="L33" i="3"/>
  <c r="AF13" i="1"/>
  <c r="M44" i="3"/>
  <c r="AG78" i="1"/>
  <c r="I7" i="2"/>
  <c r="AK42" i="1"/>
  <c r="Q22" i="3"/>
  <c r="AK41" i="1"/>
  <c r="F82" i="16"/>
  <c r="F84" i="16" s="1"/>
  <c r="F16" i="16" s="1"/>
  <c r="G116" i="16"/>
  <c r="H115" i="16"/>
  <c r="I114" i="16"/>
  <c r="J113" i="16"/>
  <c r="AL3" i="25"/>
  <c r="AL3" i="16"/>
  <c r="H142" i="25"/>
  <c r="G111" i="25"/>
  <c r="G143" i="25"/>
  <c r="I141" i="25"/>
  <c r="J140" i="25"/>
  <c r="AF12" i="1" l="1"/>
  <c r="AF11" i="1" s="1"/>
  <c r="AF33" i="1"/>
  <c r="AF77" i="1" s="1"/>
  <c r="L36" i="3"/>
  <c r="AK85" i="1"/>
  <c r="AK86" i="1"/>
  <c r="I17" i="2"/>
  <c r="AG31" i="1"/>
  <c r="AF10" i="1"/>
  <c r="AF57" i="1"/>
  <c r="H116" i="16"/>
  <c r="I115" i="16"/>
  <c r="J114" i="16"/>
  <c r="H143" i="25"/>
  <c r="H111" i="25"/>
  <c r="I142" i="25"/>
  <c r="J141" i="25"/>
  <c r="AM3" i="16"/>
  <c r="G82" i="16" s="1"/>
  <c r="G84" i="16" s="1"/>
  <c r="G16" i="16" s="1"/>
  <c r="AM3" i="25"/>
  <c r="AF56" i="1" l="1"/>
  <c r="AF9" i="1"/>
  <c r="AF7" i="1" s="1"/>
  <c r="AF8" i="1"/>
  <c r="AF24" i="1" s="1"/>
  <c r="AF32" i="1"/>
  <c r="AF25" i="26" s="1"/>
  <c r="AK16" i="22"/>
  <c r="AK87" i="1"/>
  <c r="I19" i="2"/>
  <c r="AF26" i="1"/>
  <c r="AG27" i="26" s="1"/>
  <c r="AF54" i="1"/>
  <c r="AF8" i="22" s="1"/>
  <c r="AG75" i="1"/>
  <c r="M66" i="3"/>
  <c r="AF55" i="1"/>
  <c r="I82" i="16"/>
  <c r="I116" i="16"/>
  <c r="J115" i="16"/>
  <c r="I111" i="25"/>
  <c r="I143" i="25"/>
  <c r="J142" i="25"/>
  <c r="AN3" i="25"/>
  <c r="AN3" i="16"/>
  <c r="AF25" i="1" l="1"/>
  <c r="AF23" i="1" s="1"/>
  <c r="AF76" i="1"/>
  <c r="AF6" i="1"/>
  <c r="AF35" i="1"/>
  <c r="AF26" i="26" s="1"/>
  <c r="AF70" i="1"/>
  <c r="AF22" i="1"/>
  <c r="I21" i="2"/>
  <c r="I40" i="2"/>
  <c r="I26" i="2"/>
  <c r="J82" i="16"/>
  <c r="J116" i="16"/>
  <c r="J143" i="25"/>
  <c r="J111" i="25"/>
  <c r="AO3" i="25"/>
  <c r="AO3" i="16"/>
  <c r="H82" i="16" s="1"/>
  <c r="H84" i="16" s="1"/>
  <c r="H16" i="16" s="1"/>
  <c r="I84" i="16"/>
  <c r="I16" i="16" s="1"/>
  <c r="AF79" i="1" l="1"/>
  <c r="AF36" i="1"/>
  <c r="AF28" i="26" s="1"/>
  <c r="I20" i="2"/>
  <c r="K5" i="15" s="1"/>
  <c r="M6" i="3" s="1"/>
  <c r="M16" i="3"/>
  <c r="I25" i="2"/>
  <c r="K4" i="25" s="1"/>
  <c r="M18" i="3" s="1"/>
  <c r="AF12" i="22"/>
  <c r="J84" i="16"/>
  <c r="J16" i="16" s="1"/>
  <c r="AP3" i="25"/>
  <c r="AP3" i="16"/>
  <c r="AF80" i="1" l="1"/>
  <c r="AF43" i="1"/>
  <c r="AF88" i="1" s="1"/>
  <c r="K4" i="16"/>
  <c r="K24" i="16" s="1"/>
  <c r="K26" i="16" s="1"/>
  <c r="K27" i="16" s="1"/>
  <c r="K3" i="14"/>
  <c r="K7" i="15"/>
  <c r="K118" i="15"/>
  <c r="K120" i="15" s="1"/>
  <c r="K121" i="15" s="1"/>
  <c r="K8" i="15"/>
  <c r="K10" i="15" s="1"/>
  <c r="M74" i="3" s="1"/>
  <c r="K25" i="15"/>
  <c r="K27" i="15" s="1"/>
  <c r="K28" i="15" s="1"/>
  <c r="K49" i="15"/>
  <c r="K51" i="15" s="1"/>
  <c r="K52" i="15" s="1"/>
  <c r="K78" i="15"/>
  <c r="K80" i="15" s="1"/>
  <c r="K81" i="15" s="1"/>
  <c r="K6" i="25"/>
  <c r="K9" i="25" s="1"/>
  <c r="K7" i="25"/>
  <c r="K44" i="25"/>
  <c r="K46" i="25" s="1"/>
  <c r="K47" i="25" s="1"/>
  <c r="K70" i="25"/>
  <c r="K72" i="25" s="1"/>
  <c r="K73" i="25" s="1"/>
  <c r="K23" i="25"/>
  <c r="K25" i="25" s="1"/>
  <c r="K26" i="25" s="1"/>
  <c r="K107" i="25"/>
  <c r="K109" i="25" s="1"/>
  <c r="K110" i="25" s="1"/>
  <c r="M25" i="3"/>
  <c r="AF45" i="1"/>
  <c r="AQ3" i="25"/>
  <c r="AQ3" i="16"/>
  <c r="K7" i="16" l="1"/>
  <c r="K68" i="14"/>
  <c r="K70" i="14" s="1"/>
  <c r="K80" i="14" s="1"/>
  <c r="M5" i="3"/>
  <c r="K49" i="16"/>
  <c r="K51" i="16" s="1"/>
  <c r="K52" i="16" s="1"/>
  <c r="K64" i="16" s="1"/>
  <c r="M17" i="3"/>
  <c r="K78" i="16"/>
  <c r="K80" i="16" s="1"/>
  <c r="K81" i="16" s="1"/>
  <c r="K111" i="16" s="1"/>
  <c r="K6" i="16"/>
  <c r="K9" i="16" s="1"/>
  <c r="M63" i="3" s="1"/>
  <c r="K5" i="14"/>
  <c r="K41" i="14"/>
  <c r="K43" i="14" s="1"/>
  <c r="K48" i="14" s="1"/>
  <c r="L59" i="14" s="1"/>
  <c r="K101" i="14"/>
  <c r="K103" i="14" s="1"/>
  <c r="K113" i="14" s="1"/>
  <c r="K19" i="14"/>
  <c r="K21" i="14" s="1"/>
  <c r="K26" i="14" s="1"/>
  <c r="L32" i="14" s="1"/>
  <c r="K32" i="25"/>
  <c r="K30" i="25"/>
  <c r="L36" i="25" s="1"/>
  <c r="K31" i="25"/>
  <c r="K33" i="25"/>
  <c r="K27" i="25"/>
  <c r="K34" i="25"/>
  <c r="K125" i="14"/>
  <c r="K36" i="16"/>
  <c r="K35" i="16"/>
  <c r="K28" i="16"/>
  <c r="K34" i="16"/>
  <c r="K37" i="16"/>
  <c r="K33" i="16"/>
  <c r="L39" i="16" s="1"/>
  <c r="M76" i="3"/>
  <c r="M70" i="3"/>
  <c r="AF90" i="1"/>
  <c r="AG40" i="1"/>
  <c r="K86" i="25"/>
  <c r="K74" i="25"/>
  <c r="K82" i="25"/>
  <c r="K85" i="25"/>
  <c r="K93" i="25"/>
  <c r="K84" i="25"/>
  <c r="K89" i="25"/>
  <c r="K94" i="25"/>
  <c r="K80" i="25"/>
  <c r="K81" i="25"/>
  <c r="K92" i="25"/>
  <c r="K91" i="25"/>
  <c r="K88" i="25"/>
  <c r="K95" i="25"/>
  <c r="K79" i="25"/>
  <c r="K96" i="25"/>
  <c r="K78" i="25"/>
  <c r="K83" i="25"/>
  <c r="K87" i="25"/>
  <c r="K77" i="25"/>
  <c r="L98" i="25" s="1"/>
  <c r="K90" i="25"/>
  <c r="K82" i="15"/>
  <c r="K95" i="15"/>
  <c r="K90" i="15"/>
  <c r="K93" i="15"/>
  <c r="K87" i="15"/>
  <c r="L108" i="15" s="1"/>
  <c r="K103" i="15"/>
  <c r="K106" i="15"/>
  <c r="K88" i="15"/>
  <c r="K100" i="15"/>
  <c r="K96" i="15"/>
  <c r="K91" i="15"/>
  <c r="K94" i="15"/>
  <c r="K102" i="15"/>
  <c r="K104" i="15"/>
  <c r="K98" i="15"/>
  <c r="K89" i="15"/>
  <c r="K92" i="15"/>
  <c r="K101" i="15"/>
  <c r="K97" i="15"/>
  <c r="K99" i="15"/>
  <c r="K105" i="15"/>
  <c r="K122" i="15"/>
  <c r="K143" i="15"/>
  <c r="K148" i="15"/>
  <c r="K150" i="15"/>
  <c r="K146" i="15"/>
  <c r="K132" i="15"/>
  <c r="K130" i="15"/>
  <c r="K149" i="15"/>
  <c r="K136" i="15"/>
  <c r="K141" i="15"/>
  <c r="K144" i="15"/>
  <c r="K133" i="15"/>
  <c r="K138" i="15"/>
  <c r="K153" i="15"/>
  <c r="K134" i="15"/>
  <c r="K155" i="15"/>
  <c r="K152" i="15"/>
  <c r="K154" i="15"/>
  <c r="K135" i="15"/>
  <c r="K145" i="15"/>
  <c r="K131" i="15"/>
  <c r="K139" i="15"/>
  <c r="K151" i="15"/>
  <c r="K142" i="15"/>
  <c r="K129" i="15"/>
  <c r="K147" i="15"/>
  <c r="K140" i="15"/>
  <c r="K156" i="15"/>
  <c r="K137" i="15"/>
  <c r="K128" i="15"/>
  <c r="K127" i="15"/>
  <c r="L158" i="15" s="1"/>
  <c r="M27" i="3"/>
  <c r="K53" i="15"/>
  <c r="K61" i="15"/>
  <c r="K58" i="15"/>
  <c r="L69" i="15" s="1"/>
  <c r="K67" i="15"/>
  <c r="K65" i="15"/>
  <c r="K59" i="15"/>
  <c r="K64" i="15"/>
  <c r="K60" i="15"/>
  <c r="K62" i="15"/>
  <c r="K63" i="15"/>
  <c r="K66" i="15"/>
  <c r="M15" i="3"/>
  <c r="AF18" i="22"/>
  <c r="AF19" i="22" s="1"/>
  <c r="K54" i="25"/>
  <c r="K56" i="25"/>
  <c r="K53" i="25"/>
  <c r="K57" i="25"/>
  <c r="K48" i="25"/>
  <c r="K51" i="25"/>
  <c r="L62" i="25" s="1"/>
  <c r="K59" i="25"/>
  <c r="K55" i="25"/>
  <c r="K60" i="25"/>
  <c r="K58" i="25"/>
  <c r="K52" i="25"/>
  <c r="K116" i="25"/>
  <c r="K120" i="25"/>
  <c r="K126" i="25"/>
  <c r="K132" i="25"/>
  <c r="K134" i="25"/>
  <c r="K131" i="25"/>
  <c r="K117" i="25"/>
  <c r="K122" i="25"/>
  <c r="K125" i="25"/>
  <c r="K127" i="25"/>
  <c r="K114" i="25"/>
  <c r="L145" i="25" s="1"/>
  <c r="K128" i="25"/>
  <c r="K118" i="25"/>
  <c r="K137" i="25"/>
  <c r="K130" i="25"/>
  <c r="K129" i="25"/>
  <c r="K138" i="25"/>
  <c r="K136" i="25"/>
  <c r="K121" i="25"/>
  <c r="K123" i="25"/>
  <c r="K133" i="25"/>
  <c r="K135" i="25"/>
  <c r="K119" i="25"/>
  <c r="K115" i="25"/>
  <c r="K124" i="25"/>
  <c r="K139" i="25"/>
  <c r="K140" i="25"/>
  <c r="K141" i="25"/>
  <c r="K142" i="25"/>
  <c r="K143" i="25"/>
  <c r="K111" i="25"/>
  <c r="K38" i="15"/>
  <c r="K36" i="15"/>
  <c r="K37" i="15"/>
  <c r="K29" i="15"/>
  <c r="K34" i="15"/>
  <c r="L40" i="15" s="1"/>
  <c r="L13" i="15"/>
  <c r="L14" i="15" s="1"/>
  <c r="J16" i="2" s="1"/>
  <c r="K35" i="15"/>
  <c r="AR3" i="16"/>
  <c r="AR3" i="25"/>
  <c r="M4" i="3" l="1"/>
  <c r="M26" i="3"/>
  <c r="K52" i="14"/>
  <c r="K49" i="14"/>
  <c r="K57" i="14"/>
  <c r="K58" i="16"/>
  <c r="L69" i="16" s="1"/>
  <c r="K63" i="16"/>
  <c r="M14" i="3"/>
  <c r="K51" i="14"/>
  <c r="K55" i="14"/>
  <c r="K110" i="16"/>
  <c r="K108" i="16"/>
  <c r="K94" i="16"/>
  <c r="K114" i="16"/>
  <c r="K92" i="16"/>
  <c r="K99" i="16"/>
  <c r="K101" i="16"/>
  <c r="K53" i="16"/>
  <c r="K67" i="16"/>
  <c r="K61" i="16"/>
  <c r="K66" i="16"/>
  <c r="K60" i="16"/>
  <c r="K62" i="16"/>
  <c r="K65" i="16"/>
  <c r="K59" i="16"/>
  <c r="K29" i="14"/>
  <c r="K82" i="14"/>
  <c r="K87" i="14"/>
  <c r="K116" i="16"/>
  <c r="K113" i="16"/>
  <c r="K96" i="16"/>
  <c r="K89" i="16"/>
  <c r="K105" i="16"/>
  <c r="K98" i="16"/>
  <c r="K87" i="16"/>
  <c r="L118" i="16" s="1"/>
  <c r="K103" i="16"/>
  <c r="K78" i="14"/>
  <c r="K86" i="14"/>
  <c r="K76" i="14"/>
  <c r="K83" i="14"/>
  <c r="K118" i="14"/>
  <c r="K84" i="14"/>
  <c r="K81" i="14"/>
  <c r="K82" i="16"/>
  <c r="K112" i="16"/>
  <c r="K100" i="16"/>
  <c r="K93" i="16"/>
  <c r="K109" i="16"/>
  <c r="K102" i="16"/>
  <c r="K91" i="16"/>
  <c r="K107" i="16"/>
  <c r="K89" i="14"/>
  <c r="K75" i="14"/>
  <c r="L91" i="14" s="1"/>
  <c r="K79" i="14"/>
  <c r="K114" i="14"/>
  <c r="K115" i="16"/>
  <c r="K88" i="16"/>
  <c r="K104" i="16"/>
  <c r="K97" i="16"/>
  <c r="K90" i="16"/>
  <c r="K106" i="16"/>
  <c r="K95" i="16"/>
  <c r="K85" i="14"/>
  <c r="K88" i="14"/>
  <c r="K77" i="14"/>
  <c r="K122" i="14"/>
  <c r="K54" i="14"/>
  <c r="K56" i="14"/>
  <c r="K117" i="14"/>
  <c r="K50" i="14"/>
  <c r="K53" i="14"/>
  <c r="K28" i="14"/>
  <c r="K115" i="14"/>
  <c r="K132" i="14"/>
  <c r="K127" i="14"/>
  <c r="K123" i="14"/>
  <c r="K128" i="14"/>
  <c r="K130" i="14"/>
  <c r="K109" i="14"/>
  <c r="K112" i="14"/>
  <c r="K137" i="14"/>
  <c r="K131" i="14"/>
  <c r="K120" i="14"/>
  <c r="K119" i="14"/>
  <c r="K108" i="14"/>
  <c r="L139" i="14" s="1"/>
  <c r="K124" i="14"/>
  <c r="K135" i="14"/>
  <c r="K129" i="14"/>
  <c r="K126" i="14"/>
  <c r="K133" i="14"/>
  <c r="K121" i="14"/>
  <c r="K110" i="14"/>
  <c r="K116" i="14"/>
  <c r="K111" i="14"/>
  <c r="K134" i="14"/>
  <c r="K136" i="14"/>
  <c r="K30" i="14"/>
  <c r="K27" i="14"/>
  <c r="AG84" i="1"/>
  <c r="L11" i="15"/>
  <c r="N32" i="3" s="1"/>
  <c r="K124" i="15"/>
  <c r="K55" i="15"/>
  <c r="K84" i="15"/>
  <c r="J14" i="2"/>
  <c r="N38" i="3"/>
  <c r="K31" i="15"/>
  <c r="L11" i="25"/>
  <c r="M65" i="3"/>
  <c r="M59" i="3"/>
  <c r="M51" i="3"/>
  <c r="M72" i="3"/>
  <c r="K30" i="16"/>
  <c r="AS3" i="25"/>
  <c r="AS3" i="16"/>
  <c r="M50" i="3" l="1"/>
  <c r="L11" i="16"/>
  <c r="N42" i="3" s="1"/>
  <c r="M13" i="3"/>
  <c r="K55" i="16"/>
  <c r="L6" i="14"/>
  <c r="N31" i="3" s="1"/>
  <c r="K72" i="14"/>
  <c r="K84" i="16"/>
  <c r="K45" i="14"/>
  <c r="K105" i="14"/>
  <c r="K23" i="14"/>
  <c r="K17" i="15"/>
  <c r="M35" i="3" s="1"/>
  <c r="M55" i="3"/>
  <c r="M61" i="3"/>
  <c r="N39" i="3"/>
  <c r="N43" i="3"/>
  <c r="L12" i="25"/>
  <c r="AT3" i="25"/>
  <c r="AT3" i="16"/>
  <c r="M49" i="3" l="1"/>
  <c r="AG39" i="1"/>
  <c r="AG83" i="1" s="1"/>
  <c r="L12" i="16"/>
  <c r="J10" i="2"/>
  <c r="J8" i="2" s="1"/>
  <c r="J13" i="2"/>
  <c r="J11" i="2" s="1"/>
  <c r="K16" i="16"/>
  <c r="K9" i="14"/>
  <c r="M34" i="3" s="1"/>
  <c r="N30" i="3"/>
  <c r="M53" i="3"/>
  <c r="M56" i="3"/>
  <c r="AH34" i="1"/>
  <c r="AU3" i="16"/>
  <c r="AU3" i="25"/>
  <c r="N41" i="3" l="1"/>
  <c r="M33" i="3"/>
  <c r="AH78" i="1"/>
  <c r="AG13" i="1"/>
  <c r="AG12" i="1"/>
  <c r="J7" i="2"/>
  <c r="AV3" i="25"/>
  <c r="AV3" i="16"/>
  <c r="AG33" i="1" l="1"/>
  <c r="AG77" i="1" s="1"/>
  <c r="N44" i="3"/>
  <c r="M36" i="3"/>
  <c r="AG8" i="1"/>
  <c r="AG56" i="1"/>
  <c r="AG9" i="1"/>
  <c r="AG11" i="1"/>
  <c r="AG57" i="1"/>
  <c r="AG10" i="1"/>
  <c r="J17" i="2"/>
  <c r="AW3" i="16"/>
  <c r="AW3" i="25"/>
  <c r="AH31" i="1" l="1"/>
  <c r="N66" i="3" s="1"/>
  <c r="AG32" i="1"/>
  <c r="AG25" i="26" s="1"/>
  <c r="AG26" i="1"/>
  <c r="AG54" i="1"/>
  <c r="AG8" i="22" s="1"/>
  <c r="AG25" i="1"/>
  <c r="AG7" i="1"/>
  <c r="J19" i="2"/>
  <c r="AG24" i="1"/>
  <c r="AG6" i="1"/>
  <c r="AG55" i="1"/>
  <c r="AX3" i="16"/>
  <c r="AX3" i="25"/>
  <c r="AH27" i="26" l="1"/>
  <c r="AG35" i="1"/>
  <c r="AG36" i="1" s="1"/>
  <c r="AG28" i="26" s="1"/>
  <c r="AG76" i="1"/>
  <c r="AH75" i="1"/>
  <c r="AG23" i="1"/>
  <c r="AG70" i="1"/>
  <c r="AG22" i="1"/>
  <c r="J26" i="2"/>
  <c r="J40" i="2"/>
  <c r="J21" i="2"/>
  <c r="AY3" i="16"/>
  <c r="AY3" i="25"/>
  <c r="AG79" i="1" l="1"/>
  <c r="AG26" i="26"/>
  <c r="AG80" i="1"/>
  <c r="AG43" i="1"/>
  <c r="AG88" i="1" s="1"/>
  <c r="J20" i="2"/>
  <c r="L5" i="15" s="1"/>
  <c r="N6" i="3" s="1"/>
  <c r="N16" i="3"/>
  <c r="J25" i="2"/>
  <c r="L4" i="25" s="1"/>
  <c r="N18" i="3" s="1"/>
  <c r="AG12" i="22"/>
  <c r="AG45" i="1" l="1"/>
  <c r="AG90" i="1" s="1"/>
  <c r="L4" i="16"/>
  <c r="L49" i="16" s="1"/>
  <c r="L51" i="16" s="1"/>
  <c r="L52" i="16" s="1"/>
  <c r="L3" i="14"/>
  <c r="N5" i="3" s="1"/>
  <c r="AG18" i="22"/>
  <c r="AG19" i="22" s="1"/>
  <c r="L8" i="15"/>
  <c r="L10" i="15" s="1"/>
  <c r="N74" i="3" s="1"/>
  <c r="L49" i="15"/>
  <c r="L51" i="15" s="1"/>
  <c r="L52" i="15" s="1"/>
  <c r="L25" i="15"/>
  <c r="L27" i="15" s="1"/>
  <c r="L28" i="15" s="1"/>
  <c r="L7" i="15"/>
  <c r="L118" i="15"/>
  <c r="L120" i="15" s="1"/>
  <c r="L121" i="15" s="1"/>
  <c r="L78" i="15"/>
  <c r="L80" i="15" s="1"/>
  <c r="L81" i="15" s="1"/>
  <c r="L6" i="25"/>
  <c r="L9" i="25" s="1"/>
  <c r="L23" i="25"/>
  <c r="L25" i="25" s="1"/>
  <c r="L26" i="25" s="1"/>
  <c r="L107" i="25"/>
  <c r="L109" i="25" s="1"/>
  <c r="L110" i="25" s="1"/>
  <c r="L70" i="25"/>
  <c r="L72" i="25" s="1"/>
  <c r="L73" i="25" s="1"/>
  <c r="L7" i="25"/>
  <c r="L44" i="25"/>
  <c r="L46" i="25" s="1"/>
  <c r="L47" i="25" s="1"/>
  <c r="N25" i="3"/>
  <c r="L41" i="14" l="1"/>
  <c r="L43" i="14" s="1"/>
  <c r="L55" i="14" s="1"/>
  <c r="L24" i="16"/>
  <c r="L26" i="16" s="1"/>
  <c r="L27" i="16" s="1"/>
  <c r="L36" i="16" s="1"/>
  <c r="N17" i="3"/>
  <c r="L6" i="16"/>
  <c r="L9" i="16" s="1"/>
  <c r="N63" i="3" s="1"/>
  <c r="L5" i="14"/>
  <c r="L101" i="14"/>
  <c r="L103" i="14" s="1"/>
  <c r="L119" i="14" s="1"/>
  <c r="L19" i="14"/>
  <c r="L21" i="14" s="1"/>
  <c r="L28" i="14" s="1"/>
  <c r="L7" i="16"/>
  <c r="L78" i="16"/>
  <c r="L80" i="16" s="1"/>
  <c r="L81" i="16" s="1"/>
  <c r="L90" i="16" s="1"/>
  <c r="L68" i="14"/>
  <c r="L70" i="14" s="1"/>
  <c r="L84" i="14" s="1"/>
  <c r="AH40" i="1"/>
  <c r="L81" i="25"/>
  <c r="L91" i="25"/>
  <c r="L90" i="25"/>
  <c r="L78" i="25"/>
  <c r="L89" i="25"/>
  <c r="L84" i="25"/>
  <c r="L88" i="25"/>
  <c r="L96" i="25"/>
  <c r="L77" i="25"/>
  <c r="M98" i="25" s="1"/>
  <c r="L85" i="25"/>
  <c r="L79" i="25"/>
  <c r="L86" i="25"/>
  <c r="L95" i="25"/>
  <c r="L82" i="25"/>
  <c r="L74" i="25"/>
  <c r="L92" i="25"/>
  <c r="L94" i="25"/>
  <c r="L80" i="25"/>
  <c r="L93" i="25"/>
  <c r="L87" i="25"/>
  <c r="L83" i="25"/>
  <c r="L82" i="15"/>
  <c r="L104" i="15"/>
  <c r="L90" i="15"/>
  <c r="L99" i="15"/>
  <c r="L89" i="15"/>
  <c r="L95" i="15"/>
  <c r="L105" i="15"/>
  <c r="L94" i="15"/>
  <c r="L88" i="15"/>
  <c r="L87" i="15"/>
  <c r="M108" i="15" s="1"/>
  <c r="L93" i="15"/>
  <c r="L103" i="15"/>
  <c r="L91" i="15"/>
  <c r="L102" i="15"/>
  <c r="L97" i="15"/>
  <c r="L92" i="15"/>
  <c r="L106" i="15"/>
  <c r="L96" i="15"/>
  <c r="L100" i="15"/>
  <c r="L98" i="15"/>
  <c r="L101" i="15"/>
  <c r="N15" i="3"/>
  <c r="L53" i="16"/>
  <c r="L64" i="16"/>
  <c r="L62" i="16"/>
  <c r="L59" i="16"/>
  <c r="L61" i="16"/>
  <c r="L63" i="16"/>
  <c r="L67" i="16"/>
  <c r="L60" i="16"/>
  <c r="L65" i="16"/>
  <c r="L66" i="16"/>
  <c r="L58" i="16"/>
  <c r="M69" i="16" s="1"/>
  <c r="L89" i="14"/>
  <c r="L29" i="15"/>
  <c r="L36" i="15"/>
  <c r="M13" i="15"/>
  <c r="M14" i="15" s="1"/>
  <c r="K16" i="2" s="1"/>
  <c r="L38" i="15"/>
  <c r="L37" i="15"/>
  <c r="L34" i="15"/>
  <c r="M40" i="15" s="1"/>
  <c r="L35" i="15"/>
  <c r="L53" i="25"/>
  <c r="L54" i="25"/>
  <c r="L51" i="25"/>
  <c r="M62" i="25" s="1"/>
  <c r="L57" i="25"/>
  <c r="L58" i="25"/>
  <c r="L52" i="25"/>
  <c r="L59" i="25"/>
  <c r="L55" i="25"/>
  <c r="L48" i="25"/>
  <c r="L60" i="25"/>
  <c r="L56" i="25"/>
  <c r="L139" i="25"/>
  <c r="L121" i="25"/>
  <c r="L123" i="25"/>
  <c r="L142" i="25"/>
  <c r="L138" i="25"/>
  <c r="L130" i="25"/>
  <c r="L133" i="25"/>
  <c r="L118" i="25"/>
  <c r="L129" i="25"/>
  <c r="L134" i="25"/>
  <c r="L114" i="25"/>
  <c r="M145" i="25" s="1"/>
  <c r="L135" i="25"/>
  <c r="L124" i="25"/>
  <c r="L136" i="25"/>
  <c r="L132" i="25"/>
  <c r="L128" i="25"/>
  <c r="L141" i="25"/>
  <c r="L137" i="25"/>
  <c r="L120" i="25"/>
  <c r="L116" i="25"/>
  <c r="L126" i="25"/>
  <c r="L127" i="25"/>
  <c r="L117" i="25"/>
  <c r="L125" i="25"/>
  <c r="L111" i="25"/>
  <c r="L119" i="25"/>
  <c r="L115" i="25"/>
  <c r="L143" i="25"/>
  <c r="L140" i="25"/>
  <c r="L122" i="25"/>
  <c r="L131" i="25"/>
  <c r="L122" i="15"/>
  <c r="L134" i="15"/>
  <c r="L139" i="15"/>
  <c r="L155" i="15"/>
  <c r="L137" i="15"/>
  <c r="L148" i="15"/>
  <c r="L132" i="15"/>
  <c r="L128" i="15"/>
  <c r="L138" i="15"/>
  <c r="L152" i="15"/>
  <c r="L143" i="15"/>
  <c r="L133" i="15"/>
  <c r="L141" i="15"/>
  <c r="L153" i="15"/>
  <c r="L135" i="15"/>
  <c r="L140" i="15"/>
  <c r="L144" i="15"/>
  <c r="L145" i="15"/>
  <c r="L154" i="15"/>
  <c r="L130" i="15"/>
  <c r="L129" i="15"/>
  <c r="L127" i="15"/>
  <c r="M158" i="15" s="1"/>
  <c r="L131" i="15"/>
  <c r="L151" i="15"/>
  <c r="L146" i="15"/>
  <c r="L149" i="15"/>
  <c r="L150" i="15"/>
  <c r="L156" i="15"/>
  <c r="L147" i="15"/>
  <c r="L136" i="15"/>
  <c r="L142" i="15"/>
  <c r="L53" i="15"/>
  <c r="L61" i="15"/>
  <c r="L62" i="15"/>
  <c r="L66" i="15"/>
  <c r="L58" i="15"/>
  <c r="M69" i="15" s="1"/>
  <c r="L67" i="15"/>
  <c r="L64" i="15"/>
  <c r="L60" i="15"/>
  <c r="L63" i="15"/>
  <c r="L65" i="15"/>
  <c r="L59" i="15"/>
  <c r="N14" i="3"/>
  <c r="N4" i="3"/>
  <c r="L110" i="16"/>
  <c r="L94" i="16"/>
  <c r="L92" i="16"/>
  <c r="L49" i="14"/>
  <c r="N27" i="3"/>
  <c r="L27" i="25"/>
  <c r="L33" i="25"/>
  <c r="L34" i="25"/>
  <c r="L32" i="25"/>
  <c r="L31" i="25"/>
  <c r="L30" i="25"/>
  <c r="M36" i="25" s="1"/>
  <c r="N76" i="3"/>
  <c r="N70" i="3"/>
  <c r="N26" i="3" l="1"/>
  <c r="L48" i="14"/>
  <c r="M59" i="14" s="1"/>
  <c r="L111" i="16"/>
  <c r="L108" i="16"/>
  <c r="L99" i="16"/>
  <c r="L97" i="16"/>
  <c r="L106" i="16"/>
  <c r="L95" i="16"/>
  <c r="L54" i="14"/>
  <c r="L105" i="16"/>
  <c r="L91" i="16"/>
  <c r="L102" i="16"/>
  <c r="L56" i="14"/>
  <c r="L50" i="14"/>
  <c r="L98" i="16"/>
  <c r="L96" i="16"/>
  <c r="L109" i="16"/>
  <c r="L82" i="16"/>
  <c r="L77" i="14"/>
  <c r="L51" i="14"/>
  <c r="L52" i="14"/>
  <c r="L53" i="14"/>
  <c r="L104" i="16"/>
  <c r="L115" i="16"/>
  <c r="L114" i="16"/>
  <c r="L89" i="16"/>
  <c r="L116" i="16"/>
  <c r="L93" i="16"/>
  <c r="L88" i="16"/>
  <c r="L57" i="14"/>
  <c r="L113" i="16"/>
  <c r="L112" i="16"/>
  <c r="L101" i="16"/>
  <c r="L100" i="16"/>
  <c r="L87" i="16"/>
  <c r="M118" i="16" s="1"/>
  <c r="L107" i="16"/>
  <c r="L103" i="16"/>
  <c r="L30" i="14"/>
  <c r="L76" i="14"/>
  <c r="L27" i="14"/>
  <c r="L29" i="14"/>
  <c r="L26" i="14"/>
  <c r="M32" i="14" s="1"/>
  <c r="L88" i="14"/>
  <c r="L136" i="14"/>
  <c r="L128" i="14"/>
  <c r="L122" i="14"/>
  <c r="L134" i="14"/>
  <c r="L113" i="14"/>
  <c r="L123" i="14"/>
  <c r="L28" i="16"/>
  <c r="L108" i="14"/>
  <c r="M139" i="14" s="1"/>
  <c r="L114" i="14"/>
  <c r="L135" i="14"/>
  <c r="L126" i="14"/>
  <c r="L120" i="14"/>
  <c r="L111" i="14"/>
  <c r="L118" i="14"/>
  <c r="L132" i="14"/>
  <c r="L37" i="16"/>
  <c r="L131" i="14"/>
  <c r="L115" i="14"/>
  <c r="L125" i="14"/>
  <c r="L121" i="14"/>
  <c r="L124" i="14"/>
  <c r="L133" i="14"/>
  <c r="L130" i="14"/>
  <c r="L110" i="14"/>
  <c r="L33" i="16"/>
  <c r="M39" i="16" s="1"/>
  <c r="L34" i="16"/>
  <c r="L116" i="14"/>
  <c r="L129" i="14"/>
  <c r="L137" i="14"/>
  <c r="L127" i="14"/>
  <c r="L112" i="14"/>
  <c r="L117" i="14"/>
  <c r="L109" i="14"/>
  <c r="L35" i="16"/>
  <c r="L79" i="14"/>
  <c r="L82" i="14"/>
  <c r="L83" i="14"/>
  <c r="L80" i="14"/>
  <c r="L75" i="14"/>
  <c r="M91" i="14" s="1"/>
  <c r="L86" i="14"/>
  <c r="L81" i="14"/>
  <c r="L85" i="14"/>
  <c r="L78" i="14"/>
  <c r="L87" i="14"/>
  <c r="M11" i="25"/>
  <c r="O43" i="3" s="1"/>
  <c r="N50" i="3"/>
  <c r="N13" i="3"/>
  <c r="L55" i="15"/>
  <c r="N65" i="3"/>
  <c r="N59" i="3"/>
  <c r="AH84" i="1"/>
  <c r="L124" i="15"/>
  <c r="L31" i="15"/>
  <c r="L55" i="16"/>
  <c r="M11" i="15"/>
  <c r="O32" i="3" s="1"/>
  <c r="N51" i="3"/>
  <c r="N72" i="3"/>
  <c r="O38" i="3"/>
  <c r="K14" i="2"/>
  <c r="L84" i="15"/>
  <c r="M11" i="16" l="1"/>
  <c r="M12" i="16" s="1"/>
  <c r="L23" i="14"/>
  <c r="L84" i="16"/>
  <c r="L45" i="14"/>
  <c r="M6" i="14"/>
  <c r="O31" i="3" s="1"/>
  <c r="L105" i="14"/>
  <c r="L30" i="16"/>
  <c r="L72" i="14"/>
  <c r="M12" i="25"/>
  <c r="L17" i="15"/>
  <c r="N35" i="3" s="1"/>
  <c r="N49" i="3"/>
  <c r="O39" i="3"/>
  <c r="N55" i="3"/>
  <c r="N61" i="3"/>
  <c r="AH39" i="1"/>
  <c r="O42" i="3" l="1"/>
  <c r="K10" i="2"/>
  <c r="K8" i="2" s="1"/>
  <c r="L16" i="16"/>
  <c r="K13" i="2"/>
  <c r="K11" i="2" s="1"/>
  <c r="L9" i="14"/>
  <c r="N34" i="3" s="1"/>
  <c r="AH83" i="1"/>
  <c r="N56" i="3"/>
  <c r="AI34" i="1"/>
  <c r="O30" i="3"/>
  <c r="N53" i="3"/>
  <c r="O41" i="3" l="1"/>
  <c r="N33" i="3"/>
  <c r="AI78" i="1"/>
  <c r="AH12" i="1"/>
  <c r="K7" i="2"/>
  <c r="AH13" i="1"/>
  <c r="N36" i="3" l="1"/>
  <c r="O44" i="3"/>
  <c r="AH33" i="1"/>
  <c r="AH8" i="1"/>
  <c r="AH9" i="1"/>
  <c r="AH56" i="1"/>
  <c r="AH11" i="1"/>
  <c r="K17" i="2"/>
  <c r="AH57" i="1"/>
  <c r="AH10" i="1"/>
  <c r="AI31" i="1" l="1"/>
  <c r="AI75" i="1" s="1"/>
  <c r="AH32" i="1"/>
  <c r="AH77" i="1"/>
  <c r="AH54" i="1"/>
  <c r="AH8" i="22" s="1"/>
  <c r="AH26" i="1"/>
  <c r="K19" i="2"/>
  <c r="AH25" i="1"/>
  <c r="AH7" i="1"/>
  <c r="AH24" i="1"/>
  <c r="AH6" i="1"/>
  <c r="AH55" i="1"/>
  <c r="AI27" i="26" l="1"/>
  <c r="O66" i="3"/>
  <c r="AH35" i="1"/>
  <c r="AH76" i="1"/>
  <c r="AH25" i="26"/>
  <c r="AH22" i="1"/>
  <c r="K26" i="2"/>
  <c r="K40" i="2"/>
  <c r="K21" i="2"/>
  <c r="AH70" i="1"/>
  <c r="AH23" i="1"/>
  <c r="AH26" i="26" l="1"/>
  <c r="AH36" i="1"/>
  <c r="AH79" i="1"/>
  <c r="K20" i="2"/>
  <c r="M5" i="15" s="1"/>
  <c r="O6" i="3" s="1"/>
  <c r="K25" i="2"/>
  <c r="M4" i="25" s="1"/>
  <c r="O18" i="3" s="1"/>
  <c r="O16" i="3"/>
  <c r="AH12" i="22"/>
  <c r="AH28" i="26" l="1"/>
  <c r="AH80" i="1"/>
  <c r="AH43" i="1"/>
  <c r="M4" i="16"/>
  <c r="O17" i="3" s="1"/>
  <c r="M3" i="14"/>
  <c r="M41" i="14" s="1"/>
  <c r="M43" i="14" s="1"/>
  <c r="O25" i="3"/>
  <c r="M7" i="15"/>
  <c r="M25" i="15"/>
  <c r="M27" i="15" s="1"/>
  <c r="M28" i="15" s="1"/>
  <c r="M8" i="15"/>
  <c r="M10" i="15" s="1"/>
  <c r="O74" i="3" s="1"/>
  <c r="M49" i="15"/>
  <c r="M51" i="15" s="1"/>
  <c r="M52" i="15" s="1"/>
  <c r="M78" i="15"/>
  <c r="M80" i="15" s="1"/>
  <c r="M81" i="15" s="1"/>
  <c r="M118" i="15"/>
  <c r="M120" i="15" s="1"/>
  <c r="M121" i="15" s="1"/>
  <c r="M7" i="25"/>
  <c r="M107" i="25"/>
  <c r="M109" i="25" s="1"/>
  <c r="M110" i="25" s="1"/>
  <c r="M44" i="25"/>
  <c r="M46" i="25" s="1"/>
  <c r="M47" i="25" s="1"/>
  <c r="M23" i="25"/>
  <c r="M25" i="25" s="1"/>
  <c r="M26" i="25" s="1"/>
  <c r="M70" i="25"/>
  <c r="M72" i="25" s="1"/>
  <c r="M73" i="25" s="1"/>
  <c r="M6" i="25"/>
  <c r="M9" i="25" s="1"/>
  <c r="AH45" i="1" l="1"/>
  <c r="AH90" i="1" s="1"/>
  <c r="AH88" i="1"/>
  <c r="AH18" i="22" s="1"/>
  <c r="AH19" i="22" s="1"/>
  <c r="M49" i="16"/>
  <c r="M51" i="16" s="1"/>
  <c r="M52" i="16" s="1"/>
  <c r="M53" i="16" s="1"/>
  <c r="M6" i="16"/>
  <c r="M9" i="16" s="1"/>
  <c r="O63" i="3" s="1"/>
  <c r="M7" i="16"/>
  <c r="M24" i="16"/>
  <c r="M26" i="16" s="1"/>
  <c r="M27" i="16" s="1"/>
  <c r="M28" i="16" s="1"/>
  <c r="M78" i="16"/>
  <c r="M80" i="16" s="1"/>
  <c r="M81" i="16" s="1"/>
  <c r="M82" i="16" s="1"/>
  <c r="M5" i="14"/>
  <c r="O5" i="3"/>
  <c r="M68" i="14"/>
  <c r="M70" i="14" s="1"/>
  <c r="M86" i="14" s="1"/>
  <c r="M19" i="14"/>
  <c r="M21" i="14" s="1"/>
  <c r="M28" i="14" s="1"/>
  <c r="M101" i="14"/>
  <c r="M103" i="14" s="1"/>
  <c r="M126" i="14" s="1"/>
  <c r="M82" i="15"/>
  <c r="M101" i="15"/>
  <c r="M102" i="15"/>
  <c r="M96" i="15"/>
  <c r="M93" i="15"/>
  <c r="M104" i="15"/>
  <c r="M94" i="15"/>
  <c r="M98" i="15"/>
  <c r="M91" i="15"/>
  <c r="M105" i="15"/>
  <c r="M87" i="15"/>
  <c r="N108" i="15" s="1"/>
  <c r="M106" i="15"/>
  <c r="M97" i="15"/>
  <c r="M92" i="15"/>
  <c r="M99" i="15"/>
  <c r="M89" i="15"/>
  <c r="M90" i="15"/>
  <c r="M95" i="15"/>
  <c r="M103" i="15"/>
  <c r="M100" i="15"/>
  <c r="M88" i="15"/>
  <c r="O27" i="3"/>
  <c r="M90" i="16"/>
  <c r="M53" i="15"/>
  <c r="M59" i="15"/>
  <c r="M63" i="15"/>
  <c r="M60" i="15"/>
  <c r="M66" i="15"/>
  <c r="M67" i="15"/>
  <c r="M64" i="15"/>
  <c r="M58" i="15"/>
  <c r="N69" i="15" s="1"/>
  <c r="M62" i="15"/>
  <c r="M65" i="15"/>
  <c r="M61" i="15"/>
  <c r="M85" i="25"/>
  <c r="M94" i="25"/>
  <c r="M93" i="25"/>
  <c r="M84" i="25"/>
  <c r="M96" i="25"/>
  <c r="M86" i="25"/>
  <c r="M79" i="25"/>
  <c r="M77" i="25"/>
  <c r="N98" i="25" s="1"/>
  <c r="M92" i="25"/>
  <c r="M83" i="25"/>
  <c r="M80" i="25"/>
  <c r="M74" i="25"/>
  <c r="M95" i="25"/>
  <c r="M87" i="25"/>
  <c r="M88" i="25"/>
  <c r="M89" i="25"/>
  <c r="M82" i="25"/>
  <c r="M91" i="25"/>
  <c r="M90" i="25"/>
  <c r="M78" i="25"/>
  <c r="M81" i="25"/>
  <c r="M143" i="25"/>
  <c r="M136" i="25"/>
  <c r="M119" i="25"/>
  <c r="M120" i="25"/>
  <c r="M129" i="25"/>
  <c r="M139" i="25"/>
  <c r="M134" i="25"/>
  <c r="M140" i="25"/>
  <c r="M132" i="25"/>
  <c r="M124" i="25"/>
  <c r="M128" i="25"/>
  <c r="M131" i="25"/>
  <c r="M125" i="25"/>
  <c r="M116" i="25"/>
  <c r="M138" i="25"/>
  <c r="M142" i="25"/>
  <c r="M130" i="25"/>
  <c r="M121" i="25"/>
  <c r="M117" i="25"/>
  <c r="M137" i="25"/>
  <c r="M114" i="25"/>
  <c r="N145" i="25" s="1"/>
  <c r="M118" i="25"/>
  <c r="M111" i="25"/>
  <c r="M141" i="25"/>
  <c r="M115" i="25"/>
  <c r="M122" i="25"/>
  <c r="M135" i="25"/>
  <c r="M126" i="25"/>
  <c r="M127" i="25"/>
  <c r="M133" i="25"/>
  <c r="M123" i="25"/>
  <c r="M26" i="14"/>
  <c r="N32" i="14" s="1"/>
  <c r="M122" i="15"/>
  <c r="M155" i="15"/>
  <c r="M127" i="15"/>
  <c r="N158" i="15" s="1"/>
  <c r="M133" i="15"/>
  <c r="M153" i="15"/>
  <c r="M146" i="15"/>
  <c r="M136" i="15"/>
  <c r="M149" i="15"/>
  <c r="M156" i="15"/>
  <c r="M131" i="15"/>
  <c r="M144" i="15"/>
  <c r="M134" i="15"/>
  <c r="M142" i="15"/>
  <c r="M140" i="15"/>
  <c r="M130" i="15"/>
  <c r="M152" i="15"/>
  <c r="M143" i="15"/>
  <c r="M151" i="15"/>
  <c r="M132" i="15"/>
  <c r="M135" i="15"/>
  <c r="M145" i="15"/>
  <c r="M137" i="15"/>
  <c r="M138" i="15"/>
  <c r="M150" i="15"/>
  <c r="M154" i="15"/>
  <c r="M141" i="15"/>
  <c r="M147" i="15"/>
  <c r="M129" i="15"/>
  <c r="M148" i="15"/>
  <c r="M139" i="15"/>
  <c r="M128" i="15"/>
  <c r="O76" i="3"/>
  <c r="O70" i="3"/>
  <c r="AI40" i="1"/>
  <c r="M30" i="25"/>
  <c r="N36" i="25" s="1"/>
  <c r="M33" i="25"/>
  <c r="M31" i="25"/>
  <c r="M32" i="25"/>
  <c r="M34" i="25"/>
  <c r="M27" i="25"/>
  <c r="O26" i="3"/>
  <c r="M34" i="15"/>
  <c r="N40" i="15" s="1"/>
  <c r="M38" i="15"/>
  <c r="M29" i="15"/>
  <c r="M36" i="15"/>
  <c r="M37" i="15"/>
  <c r="M35" i="15"/>
  <c r="N13" i="15"/>
  <c r="N14" i="15" s="1"/>
  <c r="L16" i="2" s="1"/>
  <c r="M59" i="25"/>
  <c r="M53" i="25"/>
  <c r="M58" i="25"/>
  <c r="M48" i="25"/>
  <c r="M52" i="25"/>
  <c r="M54" i="25"/>
  <c r="M57" i="25"/>
  <c r="M60" i="25"/>
  <c r="M55" i="25"/>
  <c r="M56" i="25"/>
  <c r="M51" i="25"/>
  <c r="N62" i="25" s="1"/>
  <c r="M52" i="14"/>
  <c r="M57" i="14"/>
  <c r="M55" i="14"/>
  <c r="M51" i="14"/>
  <c r="M49" i="14"/>
  <c r="M53" i="14"/>
  <c r="M48" i="14"/>
  <c r="N59" i="14" s="1"/>
  <c r="M50" i="14"/>
  <c r="M56" i="14"/>
  <c r="M54" i="14"/>
  <c r="O15" i="3"/>
  <c r="O14" i="3" l="1"/>
  <c r="M27" i="14"/>
  <c r="M115" i="16"/>
  <c r="M101" i="16"/>
  <c r="M116" i="16"/>
  <c r="M91" i="16"/>
  <c r="M114" i="16"/>
  <c r="M92" i="16"/>
  <c r="M120" i="14"/>
  <c r="M65" i="16"/>
  <c r="M29" i="14"/>
  <c r="M95" i="16"/>
  <c r="M89" i="16"/>
  <c r="M87" i="16"/>
  <c r="N118" i="16" s="1"/>
  <c r="M93" i="16"/>
  <c r="M88" i="16"/>
  <c r="M97" i="16"/>
  <c r="M105" i="16"/>
  <c r="M104" i="16"/>
  <c r="M62" i="16"/>
  <c r="M30" i="14"/>
  <c r="M96" i="16"/>
  <c r="M94" i="16"/>
  <c r="M100" i="16"/>
  <c r="M98" i="16"/>
  <c r="M103" i="16"/>
  <c r="M102" i="16"/>
  <c r="M113" i="16"/>
  <c r="M112" i="16"/>
  <c r="M60" i="16"/>
  <c r="M59" i="16"/>
  <c r="M107" i="16"/>
  <c r="M106" i="16"/>
  <c r="M109" i="16"/>
  <c r="M108" i="16"/>
  <c r="M111" i="16"/>
  <c r="M110" i="16"/>
  <c r="M99" i="16"/>
  <c r="M64" i="16"/>
  <c r="M122" i="14"/>
  <c r="M114" i="14"/>
  <c r="M130" i="14"/>
  <c r="M108" i="14"/>
  <c r="N139" i="14" s="1"/>
  <c r="M129" i="14"/>
  <c r="M63" i="16"/>
  <c r="M111" i="14"/>
  <c r="M58" i="16"/>
  <c r="N69" i="16" s="1"/>
  <c r="M67" i="16"/>
  <c r="M82" i="14"/>
  <c r="M77" i="14"/>
  <c r="M89" i="14"/>
  <c r="M79" i="14"/>
  <c r="M81" i="14"/>
  <c r="M76" i="14"/>
  <c r="M85" i="14"/>
  <c r="M84" i="14"/>
  <c r="M33" i="16"/>
  <c r="N39" i="16" s="1"/>
  <c r="M75" i="14"/>
  <c r="N91" i="14" s="1"/>
  <c r="M87" i="14"/>
  <c r="M83" i="14"/>
  <c r="M123" i="14"/>
  <c r="M109" i="14"/>
  <c r="M115" i="14"/>
  <c r="M80" i="14"/>
  <c r="M78" i="14"/>
  <c r="M88" i="14"/>
  <c r="M37" i="16"/>
  <c r="M61" i="16"/>
  <c r="M66" i="16"/>
  <c r="M35" i="16"/>
  <c r="M34" i="16"/>
  <c r="M36" i="16"/>
  <c r="M121" i="14"/>
  <c r="M117" i="14"/>
  <c r="M124" i="14"/>
  <c r="M116" i="14"/>
  <c r="O4" i="3"/>
  <c r="M127" i="14"/>
  <c r="M132" i="14"/>
  <c r="M131" i="14"/>
  <c r="M128" i="14"/>
  <c r="M118" i="14"/>
  <c r="M119" i="14"/>
  <c r="M136" i="14"/>
  <c r="M125" i="14"/>
  <c r="M134" i="14"/>
  <c r="M110" i="14"/>
  <c r="M112" i="14"/>
  <c r="M133" i="14"/>
  <c r="M113" i="14"/>
  <c r="M135" i="14"/>
  <c r="M137" i="14"/>
  <c r="AI84" i="1"/>
  <c r="M45" i="14"/>
  <c r="N11" i="15"/>
  <c r="P32" i="3" s="1"/>
  <c r="M124" i="15"/>
  <c r="M84" i="15"/>
  <c r="P38" i="3"/>
  <c r="L14" i="2"/>
  <c r="M31" i="15"/>
  <c r="O50" i="3"/>
  <c r="N11" i="25"/>
  <c r="O51" i="3"/>
  <c r="O72" i="3"/>
  <c r="O65" i="3"/>
  <c r="O59" i="3"/>
  <c r="M55" i="15"/>
  <c r="O13" i="3" l="1"/>
  <c r="P39" i="3"/>
  <c r="M84" i="16"/>
  <c r="M23" i="14"/>
  <c r="N6" i="14"/>
  <c r="P31" i="3" s="1"/>
  <c r="M55" i="16"/>
  <c r="N11" i="16"/>
  <c r="N12" i="16" s="1"/>
  <c r="M72" i="14"/>
  <c r="M30" i="16"/>
  <c r="M105" i="14"/>
  <c r="N12" i="25"/>
  <c r="P43" i="3"/>
  <c r="O55" i="3"/>
  <c r="O61" i="3"/>
  <c r="AI39" i="1"/>
  <c r="O49" i="3"/>
  <c r="M17" i="15"/>
  <c r="O35" i="3" s="1"/>
  <c r="P30" i="3" l="1"/>
  <c r="AJ34" i="1"/>
  <c r="AJ78" i="1" s="1"/>
  <c r="L13" i="2"/>
  <c r="L11" i="2" s="1"/>
  <c r="M16" i="16"/>
  <c r="P42" i="3"/>
  <c r="L10" i="2"/>
  <c r="P41" i="3" s="1"/>
  <c r="M9" i="14"/>
  <c r="O34" i="3" s="1"/>
  <c r="AI83" i="1"/>
  <c r="O53" i="3"/>
  <c r="O56" i="3"/>
  <c r="P44" i="3" l="1"/>
  <c r="O33" i="3"/>
  <c r="L8" i="2"/>
  <c r="L7" i="2" s="1"/>
  <c r="AI13" i="1"/>
  <c r="AI12" i="1"/>
  <c r="O36" i="3" l="1"/>
  <c r="AI33" i="1"/>
  <c r="AI77" i="1" s="1"/>
  <c r="AJ31" i="1"/>
  <c r="L17" i="2"/>
  <c r="AI9" i="1"/>
  <c r="AI8" i="1"/>
  <c r="AI56" i="1"/>
  <c r="AI11" i="1"/>
  <c r="AI10" i="1"/>
  <c r="AI57" i="1"/>
  <c r="AJ75" i="1" l="1"/>
  <c r="P66" i="3"/>
  <c r="AI32" i="1"/>
  <c r="AI55" i="1"/>
  <c r="AI24" i="1"/>
  <c r="AI6" i="1"/>
  <c r="AI25" i="1"/>
  <c r="AI7" i="1"/>
  <c r="AI26" i="1"/>
  <c r="AJ27" i="26" s="1"/>
  <c r="AI54" i="1"/>
  <c r="AI8" i="22" s="1"/>
  <c r="L19" i="2"/>
  <c r="AI35" i="1" l="1"/>
  <c r="AI25" i="26"/>
  <c r="AI76" i="1"/>
  <c r="AI23" i="1"/>
  <c r="AI22" i="1"/>
  <c r="AI70" i="1"/>
  <c r="L21" i="2"/>
  <c r="L40" i="2"/>
  <c r="L26" i="2"/>
  <c r="AI26" i="26" l="1"/>
  <c r="AI36" i="1"/>
  <c r="AI79" i="1"/>
  <c r="AI12" i="22"/>
  <c r="L25" i="2"/>
  <c r="N4" i="25" s="1"/>
  <c r="P16" i="3"/>
  <c r="L20" i="2"/>
  <c r="N5" i="15" s="1"/>
  <c r="P6" i="3" s="1"/>
  <c r="AI28" i="26" l="1"/>
  <c r="AI43" i="1"/>
  <c r="AI80" i="1"/>
  <c r="P25" i="3"/>
  <c r="P18" i="3"/>
  <c r="N6" i="25"/>
  <c r="N9" i="25" s="1"/>
  <c r="N4" i="16"/>
  <c r="N6" i="16" s="1"/>
  <c r="N9" i="16" s="1"/>
  <c r="N3" i="14"/>
  <c r="P5" i="3" s="1"/>
  <c r="N70" i="25"/>
  <c r="N72" i="25" s="1"/>
  <c r="N73" i="25" s="1"/>
  <c r="N7" i="25"/>
  <c r="N107" i="25"/>
  <c r="N109" i="25" s="1"/>
  <c r="N110" i="25" s="1"/>
  <c r="N44" i="25"/>
  <c r="N46" i="25" s="1"/>
  <c r="N47" i="25" s="1"/>
  <c r="N23" i="25"/>
  <c r="N25" i="25" s="1"/>
  <c r="N26" i="25" s="1"/>
  <c r="N7" i="15"/>
  <c r="N78" i="15"/>
  <c r="N80" i="15" s="1"/>
  <c r="N81" i="15" s="1"/>
  <c r="N118" i="15"/>
  <c r="N120" i="15" s="1"/>
  <c r="N121" i="15" s="1"/>
  <c r="N25" i="15"/>
  <c r="N27" i="15" s="1"/>
  <c r="N28" i="15" s="1"/>
  <c r="N49" i="15"/>
  <c r="N51" i="15" s="1"/>
  <c r="N52" i="15" s="1"/>
  <c r="P15" i="3"/>
  <c r="N8" i="15"/>
  <c r="N10" i="15" s="1"/>
  <c r="P74" i="3" s="1"/>
  <c r="AJ40" i="1" l="1"/>
  <c r="P27" i="3"/>
  <c r="AI88" i="1"/>
  <c r="AI18" i="22" s="1"/>
  <c r="AI19" i="22" s="1"/>
  <c r="AI45" i="1"/>
  <c r="AI90" i="1" s="1"/>
  <c r="N49" i="16"/>
  <c r="N51" i="16" s="1"/>
  <c r="N52" i="16" s="1"/>
  <c r="N67" i="16" s="1"/>
  <c r="N7" i="16"/>
  <c r="N78" i="16"/>
  <c r="N80" i="16" s="1"/>
  <c r="N81" i="16" s="1"/>
  <c r="N111" i="16" s="1"/>
  <c r="P17" i="3"/>
  <c r="N19" i="14"/>
  <c r="N21" i="14" s="1"/>
  <c r="N27" i="14" s="1"/>
  <c r="N41" i="14"/>
  <c r="N24" i="16"/>
  <c r="N26" i="16" s="1"/>
  <c r="N27" i="16" s="1"/>
  <c r="N28" i="16" s="1"/>
  <c r="P14" i="3"/>
  <c r="N101" i="14"/>
  <c r="N103" i="14" s="1"/>
  <c r="N109" i="14" s="1"/>
  <c r="N43" i="14"/>
  <c r="N49" i="14" s="1"/>
  <c r="N68" i="14"/>
  <c r="N70" i="14" s="1"/>
  <c r="N79" i="14" s="1"/>
  <c r="N5" i="14"/>
  <c r="AJ84" i="1"/>
  <c r="P63" i="3"/>
  <c r="P76" i="3"/>
  <c r="P70" i="3"/>
  <c r="N122" i="15"/>
  <c r="N130" i="15"/>
  <c r="N132" i="15"/>
  <c r="N143" i="15"/>
  <c r="N131" i="15"/>
  <c r="N152" i="15"/>
  <c r="N137" i="15"/>
  <c r="N129" i="15"/>
  <c r="N149" i="15"/>
  <c r="N144" i="15"/>
  <c r="N140" i="15"/>
  <c r="N153" i="15"/>
  <c r="N133" i="15"/>
  <c r="N151" i="15"/>
  <c r="N135" i="15"/>
  <c r="N136" i="15"/>
  <c r="N138" i="15"/>
  <c r="N139" i="15"/>
  <c r="N128" i="15"/>
  <c r="N156" i="15"/>
  <c r="N134" i="15"/>
  <c r="N146" i="15"/>
  <c r="N142" i="15"/>
  <c r="N141" i="15"/>
  <c r="N155" i="15"/>
  <c r="N148" i="15"/>
  <c r="N150" i="15"/>
  <c r="N145" i="15"/>
  <c r="N127" i="15"/>
  <c r="O158" i="15" s="1"/>
  <c r="N147" i="15"/>
  <c r="N154" i="15"/>
  <c r="N54" i="25"/>
  <c r="N56" i="25"/>
  <c r="N59" i="25"/>
  <c r="N58" i="25"/>
  <c r="N60" i="25"/>
  <c r="N57" i="25"/>
  <c r="N52" i="25"/>
  <c r="N51" i="25"/>
  <c r="O62" i="25" s="1"/>
  <c r="N55" i="25"/>
  <c r="N48" i="25"/>
  <c r="N53" i="25"/>
  <c r="N89" i="25"/>
  <c r="N87" i="25"/>
  <c r="N96" i="25"/>
  <c r="N94" i="25"/>
  <c r="N79" i="25"/>
  <c r="N80" i="25"/>
  <c r="N88" i="25"/>
  <c r="N78" i="25"/>
  <c r="N91" i="25"/>
  <c r="N77" i="25"/>
  <c r="O98" i="25" s="1"/>
  <c r="N85" i="25"/>
  <c r="N83" i="25"/>
  <c r="N84" i="25"/>
  <c r="N90" i="25"/>
  <c r="N86" i="25"/>
  <c r="N92" i="25"/>
  <c r="N74" i="25"/>
  <c r="N93" i="25"/>
  <c r="N95" i="25"/>
  <c r="N81" i="25"/>
  <c r="N82" i="25"/>
  <c r="N82" i="15"/>
  <c r="N98" i="15"/>
  <c r="N91" i="15"/>
  <c r="N88" i="15"/>
  <c r="N104" i="15"/>
  <c r="N105" i="15"/>
  <c r="N95" i="15"/>
  <c r="N102" i="15"/>
  <c r="N96" i="15"/>
  <c r="N100" i="15"/>
  <c r="N97" i="15"/>
  <c r="N106" i="15"/>
  <c r="N92" i="15"/>
  <c r="N89" i="15"/>
  <c r="N90" i="15"/>
  <c r="N94" i="15"/>
  <c r="N87" i="15"/>
  <c r="O108" i="15" s="1"/>
  <c r="N101" i="15"/>
  <c r="N99" i="15"/>
  <c r="N103" i="15"/>
  <c r="N93" i="15"/>
  <c r="N124" i="25"/>
  <c r="N131" i="25"/>
  <c r="N134" i="25"/>
  <c r="N129" i="25"/>
  <c r="N115" i="25"/>
  <c r="N143" i="25"/>
  <c r="N116" i="25"/>
  <c r="N140" i="25"/>
  <c r="N121" i="25"/>
  <c r="N128" i="25"/>
  <c r="N127" i="25"/>
  <c r="N141" i="25"/>
  <c r="N142" i="25"/>
  <c r="N132" i="25"/>
  <c r="N133" i="25"/>
  <c r="N135" i="25"/>
  <c r="N138" i="25"/>
  <c r="N130" i="25"/>
  <c r="N136" i="25"/>
  <c r="N119" i="25"/>
  <c r="N123" i="25"/>
  <c r="N122" i="25"/>
  <c r="N126" i="25"/>
  <c r="N139" i="25"/>
  <c r="N120" i="25"/>
  <c r="N118" i="25"/>
  <c r="N125" i="25"/>
  <c r="N111" i="25"/>
  <c r="N114" i="25"/>
  <c r="O145" i="25" s="1"/>
  <c r="N117" i="25"/>
  <c r="N137" i="25"/>
  <c r="N53" i="15"/>
  <c r="N61" i="15"/>
  <c r="N64" i="15"/>
  <c r="N65" i="15"/>
  <c r="N58" i="15"/>
  <c r="O69" i="15" s="1"/>
  <c r="N63" i="15"/>
  <c r="N66" i="15"/>
  <c r="N59" i="15"/>
  <c r="N67" i="15"/>
  <c r="N60" i="15"/>
  <c r="N62" i="15"/>
  <c r="P4" i="3"/>
  <c r="N35" i="15"/>
  <c r="N34" i="15"/>
  <c r="O40" i="15" s="1"/>
  <c r="N37" i="15"/>
  <c r="N29" i="15"/>
  <c r="N36" i="15"/>
  <c r="N38" i="15"/>
  <c r="O13" i="15"/>
  <c r="O14" i="15" s="1"/>
  <c r="M16" i="2" s="1"/>
  <c r="N32" i="25"/>
  <c r="N34" i="25"/>
  <c r="N31" i="25"/>
  <c r="N30" i="25"/>
  <c r="O36" i="25" s="1"/>
  <c r="N33" i="25"/>
  <c r="N27" i="25"/>
  <c r="J114" i="13"/>
  <c r="K114" i="13" s="1"/>
  <c r="AD61" i="1"/>
  <c r="P13" i="3" l="1"/>
  <c r="P26" i="3"/>
  <c r="P59" i="3"/>
  <c r="N66" i="16"/>
  <c r="N87" i="14"/>
  <c r="N81" i="14"/>
  <c r="N60" i="16"/>
  <c r="N114" i="14"/>
  <c r="N61" i="16"/>
  <c r="N65" i="16"/>
  <c r="N59" i="16"/>
  <c r="N64" i="16"/>
  <c r="N135" i="14"/>
  <c r="N63" i="16"/>
  <c r="N58" i="16"/>
  <c r="O69" i="16" s="1"/>
  <c r="N53" i="16"/>
  <c r="N62" i="16"/>
  <c r="N26" i="14"/>
  <c r="O32" i="14" s="1"/>
  <c r="N48" i="14"/>
  <c r="O59" i="14" s="1"/>
  <c r="N57" i="14"/>
  <c r="N53" i="14"/>
  <c r="N50" i="14"/>
  <c r="N129" i="14"/>
  <c r="N54" i="14"/>
  <c r="N56" i="14"/>
  <c r="N51" i="14"/>
  <c r="N52" i="14"/>
  <c r="N89" i="16"/>
  <c r="N75" i="14"/>
  <c r="O91" i="14" s="1"/>
  <c r="N89" i="14"/>
  <c r="N76" i="14"/>
  <c r="N80" i="14"/>
  <c r="N77" i="14"/>
  <c r="N85" i="14"/>
  <c r="N100" i="16"/>
  <c r="N88" i="14"/>
  <c r="N90" i="16"/>
  <c r="N93" i="16"/>
  <c r="N84" i="14"/>
  <c r="N86" i="14"/>
  <c r="N78" i="14"/>
  <c r="N109" i="16"/>
  <c r="N115" i="16"/>
  <c r="N108" i="16"/>
  <c r="N106" i="16"/>
  <c r="N121" i="14"/>
  <c r="N28" i="14"/>
  <c r="N30" i="14"/>
  <c r="N119" i="14"/>
  <c r="N128" i="14"/>
  <c r="N130" i="14"/>
  <c r="N137" i="14"/>
  <c r="N116" i="14"/>
  <c r="N136" i="14"/>
  <c r="N132" i="14"/>
  <c r="N29" i="14"/>
  <c r="N115" i="14"/>
  <c r="N108" i="14"/>
  <c r="O139" i="14" s="1"/>
  <c r="N110" i="14"/>
  <c r="N117" i="14"/>
  <c r="N87" i="16"/>
  <c r="O118" i="16" s="1"/>
  <c r="N112" i="16"/>
  <c r="N88" i="16"/>
  <c r="N113" i="16"/>
  <c r="N102" i="16"/>
  <c r="N91" i="16"/>
  <c r="N103" i="16"/>
  <c r="N82" i="16"/>
  <c r="N97" i="16"/>
  <c r="N116" i="16"/>
  <c r="N101" i="16"/>
  <c r="N92" i="16"/>
  <c r="N110" i="16"/>
  <c r="N96" i="16"/>
  <c r="N107" i="16"/>
  <c r="N33" i="16"/>
  <c r="O39" i="16" s="1"/>
  <c r="N95" i="16"/>
  <c r="N104" i="16"/>
  <c r="N99" i="16"/>
  <c r="N105" i="16"/>
  <c r="N94" i="16"/>
  <c r="N114" i="16"/>
  <c r="N98" i="16"/>
  <c r="N37" i="16"/>
  <c r="N35" i="16"/>
  <c r="N55" i="14"/>
  <c r="N34" i="16"/>
  <c r="N36" i="16"/>
  <c r="P65" i="3"/>
  <c r="P50" i="3"/>
  <c r="N82" i="14"/>
  <c r="N83" i="14"/>
  <c r="N133" i="14"/>
  <c r="N127" i="14"/>
  <c r="N113" i="14"/>
  <c r="N118" i="14"/>
  <c r="N123" i="14"/>
  <c r="N126" i="14"/>
  <c r="N122" i="14"/>
  <c r="N120" i="14"/>
  <c r="N131" i="14"/>
  <c r="N111" i="14"/>
  <c r="N112" i="14"/>
  <c r="N125" i="14"/>
  <c r="N124" i="14"/>
  <c r="N134" i="14"/>
  <c r="O11" i="15"/>
  <c r="Q32" i="3" s="1"/>
  <c r="N31" i="15"/>
  <c r="N55" i="15"/>
  <c r="N84" i="15"/>
  <c r="O11" i="25"/>
  <c r="M14" i="2"/>
  <c r="Q38" i="3"/>
  <c r="N124" i="15"/>
  <c r="P51" i="3"/>
  <c r="P72" i="3"/>
  <c r="L114" i="13"/>
  <c r="Q39" i="3" l="1"/>
  <c r="P55" i="3"/>
  <c r="N55" i="16"/>
  <c r="N23" i="14"/>
  <c r="N45" i="14"/>
  <c r="O6" i="14"/>
  <c r="M13" i="2" s="1"/>
  <c r="M11" i="2" s="1"/>
  <c r="P49" i="3"/>
  <c r="O11" i="16"/>
  <c r="M10" i="2" s="1"/>
  <c r="N84" i="16"/>
  <c r="N30" i="16"/>
  <c r="N72" i="14"/>
  <c r="N105" i="14"/>
  <c r="P61" i="3"/>
  <c r="N17" i="15"/>
  <c r="P35" i="3" s="1"/>
  <c r="AJ39" i="1"/>
  <c r="Q43" i="3"/>
  <c r="O12" i="25"/>
  <c r="AK34" i="1"/>
  <c r="M114" i="13"/>
  <c r="AF61" i="1"/>
  <c r="AE61" i="1"/>
  <c r="AD53" i="1"/>
  <c r="AD51" i="1"/>
  <c r="AD59" i="1"/>
  <c r="P56" i="3" l="1"/>
  <c r="P53" i="3"/>
  <c r="Q31" i="3"/>
  <c r="O12" i="16"/>
  <c r="Q42" i="3"/>
  <c r="N16" i="16"/>
  <c r="N9" i="14"/>
  <c r="P34" i="3" s="1"/>
  <c r="AJ83" i="1"/>
  <c r="AK78" i="1"/>
  <c r="M8" i="2"/>
  <c r="Q41" i="3"/>
  <c r="AF59" i="1"/>
  <c r="N114" i="13"/>
  <c r="AF53" i="1"/>
  <c r="AF51" i="1"/>
  <c r="AG61" i="1"/>
  <c r="AD69" i="1"/>
  <c r="AD67" i="1"/>
  <c r="AD52" i="1"/>
  <c r="AD7" i="22" s="1"/>
  <c r="AD50" i="1"/>
  <c r="AD6" i="22" s="1"/>
  <c r="AE59" i="1"/>
  <c r="AE51" i="1"/>
  <c r="AE53" i="1"/>
  <c r="Q44" i="3" l="1"/>
  <c r="AJ12" i="1"/>
  <c r="P33" i="3"/>
  <c r="AJ33" i="1" s="1"/>
  <c r="Q30" i="3"/>
  <c r="AJ13" i="1"/>
  <c r="M7" i="2"/>
  <c r="O114" i="13"/>
  <c r="AH61" i="1"/>
  <c r="AF50" i="1"/>
  <c r="AF6" i="22" s="1"/>
  <c r="AF52" i="1"/>
  <c r="AF7" i="22" s="1"/>
  <c r="AG59" i="1"/>
  <c r="AG53" i="1"/>
  <c r="AG51" i="1"/>
  <c r="AF69" i="1"/>
  <c r="AF67" i="1"/>
  <c r="AE69" i="1"/>
  <c r="AE67" i="1"/>
  <c r="AD68" i="1"/>
  <c r="AE52" i="1"/>
  <c r="AE7" i="22" s="1"/>
  <c r="AE50" i="1"/>
  <c r="AE6" i="22" s="1"/>
  <c r="AJ9" i="1" l="1"/>
  <c r="AJ56" i="1"/>
  <c r="AJ11" i="1"/>
  <c r="AJ55" i="1" s="1"/>
  <c r="AJ8" i="1"/>
  <c r="AJ57" i="1"/>
  <c r="AJ10" i="1"/>
  <c r="P36" i="3"/>
  <c r="AK31" i="1"/>
  <c r="AJ77" i="1"/>
  <c r="M17" i="2"/>
  <c r="AD11" i="22"/>
  <c r="AD66" i="1"/>
  <c r="AG69" i="1"/>
  <c r="AG67" i="1"/>
  <c r="AF68" i="1"/>
  <c r="AH59" i="1"/>
  <c r="AG52" i="1"/>
  <c r="AG7" i="22" s="1"/>
  <c r="AG50" i="1"/>
  <c r="AG6" i="22" s="1"/>
  <c r="P114" i="13"/>
  <c r="AH53" i="1"/>
  <c r="AH51" i="1"/>
  <c r="AI61" i="1"/>
  <c r="AE68" i="1"/>
  <c r="AJ32" i="1" l="1"/>
  <c r="AJ24" i="1"/>
  <c r="AJ6" i="1"/>
  <c r="AJ54" i="1"/>
  <c r="AJ8" i="22" s="1"/>
  <c r="AJ26" i="1"/>
  <c r="AJ70" i="1" s="1"/>
  <c r="AJ12" i="22" s="1"/>
  <c r="AK75" i="1"/>
  <c r="Q66" i="3"/>
  <c r="AJ25" i="1"/>
  <c r="AJ7" i="1"/>
  <c r="AD20" i="26"/>
  <c r="AE41" i="26" s="1"/>
  <c r="G12" i="27"/>
  <c r="H28" i="27" s="1"/>
  <c r="AD37" i="26"/>
  <c r="AE42" i="26"/>
  <c r="AE40" i="26"/>
  <c r="AE39" i="26"/>
  <c r="M19" i="2"/>
  <c r="AE11" i="22"/>
  <c r="AF11" i="22"/>
  <c r="AD10" i="22"/>
  <c r="AF66" i="1"/>
  <c r="AE66" i="1"/>
  <c r="AI59" i="1"/>
  <c r="AG68" i="1"/>
  <c r="AH52" i="1"/>
  <c r="AH7" i="22" s="1"/>
  <c r="AH50" i="1"/>
  <c r="AH6" i="22" s="1"/>
  <c r="AJ61" i="1"/>
  <c r="AI53" i="1"/>
  <c r="AI51" i="1"/>
  <c r="AH69" i="1"/>
  <c r="AH67" i="1"/>
  <c r="AJ23" i="1" l="1"/>
  <c r="AJ22" i="1"/>
  <c r="AK27" i="26"/>
  <c r="AJ76" i="1"/>
  <c r="AJ35" i="1"/>
  <c r="AJ25" i="26"/>
  <c r="H25" i="27"/>
  <c r="H26" i="27" s="1"/>
  <c r="AE20" i="26"/>
  <c r="AF41" i="26" s="1"/>
  <c r="H12" i="27"/>
  <c r="I28" i="27" s="1"/>
  <c r="AF20" i="26"/>
  <c r="AG41" i="26" s="1"/>
  <c r="I12" i="27"/>
  <c r="J28" i="27" s="1"/>
  <c r="AF42" i="26"/>
  <c r="AF40" i="26"/>
  <c r="AF39" i="26"/>
  <c r="AE37" i="26"/>
  <c r="AE45" i="26" s="1"/>
  <c r="AG42" i="26"/>
  <c r="AG40" i="26"/>
  <c r="AG39" i="26"/>
  <c r="AF37" i="26"/>
  <c r="AD45" i="26"/>
  <c r="M21" i="2"/>
  <c r="M40" i="2"/>
  <c r="M26" i="2"/>
  <c r="AG11" i="22"/>
  <c r="AE10" i="22"/>
  <c r="AG66" i="1"/>
  <c r="AF10" i="22"/>
  <c r="AJ59" i="1"/>
  <c r="AI69" i="1"/>
  <c r="AI67" i="1"/>
  <c r="AJ53" i="1"/>
  <c r="AJ51" i="1"/>
  <c r="AH68" i="1"/>
  <c r="AI52" i="1"/>
  <c r="AI7" i="22" s="1"/>
  <c r="AI50" i="1"/>
  <c r="AI6" i="22" s="1"/>
  <c r="AJ26" i="26" l="1"/>
  <c r="AJ36" i="1"/>
  <c r="AJ79" i="1"/>
  <c r="AG20" i="26"/>
  <c r="AH41" i="26" s="1"/>
  <c r="J12" i="27"/>
  <c r="K28" i="27" s="1"/>
  <c r="I25" i="27"/>
  <c r="I26" i="27" s="1"/>
  <c r="J25" i="27"/>
  <c r="J26" i="27" s="1"/>
  <c r="AF45" i="26"/>
  <c r="AH42" i="26"/>
  <c r="AH40" i="26"/>
  <c r="AH39" i="26"/>
  <c r="AG37" i="26"/>
  <c r="AG45" i="26" s="1"/>
  <c r="Q16" i="3"/>
  <c r="M25" i="2"/>
  <c r="O4" i="25" s="1"/>
  <c r="M20" i="2"/>
  <c r="O5" i="15" s="1"/>
  <c r="Q6" i="3" s="1"/>
  <c r="AH11" i="22"/>
  <c r="AG10" i="22"/>
  <c r="AH66" i="1"/>
  <c r="AJ67" i="1"/>
  <c r="AJ69" i="1"/>
  <c r="AI68" i="1"/>
  <c r="AJ50" i="1"/>
  <c r="AJ6" i="22" s="1"/>
  <c r="AJ52" i="1"/>
  <c r="AJ7" i="22" s="1"/>
  <c r="Q25" i="3" l="1"/>
  <c r="AJ28" i="26"/>
  <c r="AJ43" i="1"/>
  <c r="AJ80" i="1"/>
  <c r="AH20" i="26"/>
  <c r="AI41" i="26" s="1"/>
  <c r="K12" i="27"/>
  <c r="L28" i="27" s="1"/>
  <c r="K25" i="27"/>
  <c r="K26" i="27" s="1"/>
  <c r="AH37" i="26"/>
  <c r="AH45" i="26" s="1"/>
  <c r="AI42" i="26"/>
  <c r="AI40" i="26"/>
  <c r="AI39" i="26"/>
  <c r="O6" i="25"/>
  <c r="O9" i="25" s="1"/>
  <c r="Q18" i="3"/>
  <c r="O4" i="16"/>
  <c r="O7" i="16" s="1"/>
  <c r="O3" i="14"/>
  <c r="O5" i="14" s="1"/>
  <c r="AI11" i="22"/>
  <c r="O8" i="15"/>
  <c r="O10" i="15" s="1"/>
  <c r="Q74" i="3" s="1"/>
  <c r="Q15" i="3"/>
  <c r="O118" i="15"/>
  <c r="O120" i="15" s="1"/>
  <c r="O121" i="15" s="1"/>
  <c r="O7" i="15"/>
  <c r="O25" i="15"/>
  <c r="O27" i="15" s="1"/>
  <c r="O28" i="15" s="1"/>
  <c r="O78" i="15"/>
  <c r="O80" i="15" s="1"/>
  <c r="O81" i="15" s="1"/>
  <c r="O49" i="15"/>
  <c r="O51" i="15" s="1"/>
  <c r="O52" i="15" s="1"/>
  <c r="AK40" i="1"/>
  <c r="O70" i="25"/>
  <c r="O72" i="25" s="1"/>
  <c r="O73" i="25" s="1"/>
  <c r="O44" i="25"/>
  <c r="O46" i="25" s="1"/>
  <c r="O47" i="25" s="1"/>
  <c r="O7" i="25"/>
  <c r="O107" i="25"/>
  <c r="O109" i="25" s="1"/>
  <c r="O110" i="25" s="1"/>
  <c r="O23" i="25"/>
  <c r="O25" i="25" s="1"/>
  <c r="O26" i="25" s="1"/>
  <c r="AH10" i="22"/>
  <c r="AI66" i="1"/>
  <c r="AJ68" i="1"/>
  <c r="AJ88" i="1" l="1"/>
  <c r="AJ18" i="22" s="1"/>
  <c r="AJ19" i="22" s="1"/>
  <c r="AJ45" i="1"/>
  <c r="AJ90" i="1" s="1"/>
  <c r="Q27" i="3"/>
  <c r="L25" i="27"/>
  <c r="L26" i="27" s="1"/>
  <c r="AI20" i="26"/>
  <c r="AJ41" i="26" s="1"/>
  <c r="L12" i="27"/>
  <c r="M28" i="27" s="1"/>
  <c r="AJ42" i="26"/>
  <c r="AJ40" i="26"/>
  <c r="AJ39" i="26"/>
  <c r="AI37" i="26"/>
  <c r="AI45" i="26" s="1"/>
  <c r="O101" i="14"/>
  <c r="O103" i="14" s="1"/>
  <c r="O127" i="14" s="1"/>
  <c r="O78" i="16"/>
  <c r="O80" i="16" s="1"/>
  <c r="O81" i="16" s="1"/>
  <c r="O105" i="16" s="1"/>
  <c r="Q17" i="3"/>
  <c r="O41" i="14"/>
  <c r="O43" i="14" s="1"/>
  <c r="O55" i="14" s="1"/>
  <c r="Q5" i="3"/>
  <c r="O19" i="14"/>
  <c r="O21" i="14" s="1"/>
  <c r="O29" i="14" s="1"/>
  <c r="O68" i="14"/>
  <c r="O70" i="14" s="1"/>
  <c r="O84" i="14" s="1"/>
  <c r="O49" i="16"/>
  <c r="O51" i="16" s="1"/>
  <c r="O52" i="16" s="1"/>
  <c r="O53" i="16" s="1"/>
  <c r="O24" i="16"/>
  <c r="O26" i="16" s="1"/>
  <c r="O27" i="16" s="1"/>
  <c r="O37" i="16" s="1"/>
  <c r="O6" i="16"/>
  <c r="O9" i="16" s="1"/>
  <c r="Q63" i="3" s="1"/>
  <c r="AK84" i="1"/>
  <c r="AJ11" i="22"/>
  <c r="O52" i="25"/>
  <c r="O54" i="25"/>
  <c r="O58" i="25"/>
  <c r="O51" i="25"/>
  <c r="O59" i="25"/>
  <c r="O60" i="25"/>
  <c r="O53" i="25"/>
  <c r="O55" i="25"/>
  <c r="O57" i="25"/>
  <c r="O56" i="25"/>
  <c r="O48" i="25"/>
  <c r="O111" i="25"/>
  <c r="O140" i="25"/>
  <c r="O143" i="25"/>
  <c r="O141" i="25"/>
  <c r="O132" i="25"/>
  <c r="O135" i="25"/>
  <c r="O123" i="25"/>
  <c r="O129" i="25"/>
  <c r="O137" i="25"/>
  <c r="O115" i="25"/>
  <c r="O119" i="25"/>
  <c r="O120" i="25"/>
  <c r="O114" i="25"/>
  <c r="O130" i="25"/>
  <c r="O127" i="25"/>
  <c r="O142" i="25"/>
  <c r="O122" i="25"/>
  <c r="O117" i="25"/>
  <c r="O125" i="25"/>
  <c r="O116" i="25"/>
  <c r="O138" i="25"/>
  <c r="O126" i="25"/>
  <c r="O133" i="25"/>
  <c r="O121" i="25"/>
  <c r="O131" i="25"/>
  <c r="O128" i="25"/>
  <c r="O139" i="25"/>
  <c r="O124" i="25"/>
  <c r="O134" i="25"/>
  <c r="O118" i="25"/>
  <c r="O136" i="25"/>
  <c r="O98" i="15"/>
  <c r="O87" i="15"/>
  <c r="O105" i="15"/>
  <c r="O94" i="15"/>
  <c r="O106" i="15"/>
  <c r="O101" i="15"/>
  <c r="O82" i="15"/>
  <c r="O95" i="15"/>
  <c r="O96" i="15"/>
  <c r="O104" i="15"/>
  <c r="O93" i="15"/>
  <c r="O88" i="15"/>
  <c r="O97" i="15"/>
  <c r="O90" i="15"/>
  <c r="O91" i="15"/>
  <c r="O92" i="15"/>
  <c r="O102" i="15"/>
  <c r="O103" i="15"/>
  <c r="O99" i="15"/>
  <c r="O100" i="15"/>
  <c r="O89" i="15"/>
  <c r="O58" i="15"/>
  <c r="O62" i="15"/>
  <c r="O61" i="15"/>
  <c r="O60" i="15"/>
  <c r="O64" i="15"/>
  <c r="O53" i="15"/>
  <c r="O66" i="15"/>
  <c r="O59" i="15"/>
  <c r="O63" i="15"/>
  <c r="O67" i="15"/>
  <c r="O65" i="15"/>
  <c r="O153" i="15"/>
  <c r="O155" i="15"/>
  <c r="O152" i="15"/>
  <c r="O134" i="15"/>
  <c r="O146" i="15"/>
  <c r="O144" i="15"/>
  <c r="O151" i="15"/>
  <c r="O156" i="15"/>
  <c r="O138" i="15"/>
  <c r="O135" i="15"/>
  <c r="O132" i="15"/>
  <c r="O141" i="15"/>
  <c r="O154" i="15"/>
  <c r="O148" i="15"/>
  <c r="O142" i="15"/>
  <c r="O140" i="15"/>
  <c r="O133" i="15"/>
  <c r="O150" i="15"/>
  <c r="O147" i="15"/>
  <c r="O122" i="15"/>
  <c r="O149" i="15"/>
  <c r="O131" i="15"/>
  <c r="O128" i="15"/>
  <c r="O129" i="15"/>
  <c r="O127" i="15"/>
  <c r="O139" i="15"/>
  <c r="O143" i="15"/>
  <c r="O136" i="15"/>
  <c r="O145" i="15"/>
  <c r="O137" i="15"/>
  <c r="O130" i="15"/>
  <c r="O34" i="25"/>
  <c r="O27" i="25"/>
  <c r="O32" i="25"/>
  <c r="O30" i="25"/>
  <c r="O31" i="25"/>
  <c r="O33" i="25"/>
  <c r="O94" i="25"/>
  <c r="O87" i="25"/>
  <c r="O80" i="25"/>
  <c r="O82" i="25"/>
  <c r="O77" i="25"/>
  <c r="O88" i="25"/>
  <c r="O85" i="25"/>
  <c r="O83" i="25"/>
  <c r="O91" i="25"/>
  <c r="O90" i="25"/>
  <c r="O78" i="25"/>
  <c r="O79" i="25"/>
  <c r="O96" i="25"/>
  <c r="O92" i="25"/>
  <c r="O84" i="25"/>
  <c r="O95" i="25"/>
  <c r="O74" i="25"/>
  <c r="O89" i="25"/>
  <c r="O86" i="25"/>
  <c r="O93" i="25"/>
  <c r="O81" i="25"/>
  <c r="O38" i="15"/>
  <c r="O35" i="15"/>
  <c r="O36" i="15"/>
  <c r="O34" i="15"/>
  <c r="O29" i="15"/>
  <c r="O37" i="15"/>
  <c r="Q76" i="3"/>
  <c r="Q70" i="3"/>
  <c r="AJ66" i="1"/>
  <c r="AI10" i="22"/>
  <c r="Q4" i="3" l="1"/>
  <c r="Q26" i="3"/>
  <c r="O48" i="14"/>
  <c r="O28" i="16"/>
  <c r="O130" i="14"/>
  <c r="O115" i="14"/>
  <c r="O35" i="16"/>
  <c r="O135" i="14"/>
  <c r="O114" i="14"/>
  <c r="O33" i="16"/>
  <c r="O109" i="14"/>
  <c r="O120" i="14"/>
  <c r="O136" i="14"/>
  <c r="O116" i="14"/>
  <c r="O110" i="16"/>
  <c r="O93" i="16"/>
  <c r="O117" i="14"/>
  <c r="O57" i="14"/>
  <c r="O92" i="16"/>
  <c r="O107" i="16"/>
  <c r="O27" i="14"/>
  <c r="O94" i="16"/>
  <c r="O96" i="16"/>
  <c r="O91" i="16"/>
  <c r="O109" i="16"/>
  <c r="O81" i="14"/>
  <c r="O118" i="14"/>
  <c r="O122" i="14"/>
  <c r="O125" i="14"/>
  <c r="O131" i="14"/>
  <c r="O121" i="14"/>
  <c r="O113" i="14"/>
  <c r="O126" i="14"/>
  <c r="O110" i="14"/>
  <c r="O137" i="14"/>
  <c r="O108" i="14"/>
  <c r="O111" i="14"/>
  <c r="O123" i="14"/>
  <c r="O133" i="14"/>
  <c r="M25" i="27"/>
  <c r="M26" i="27" s="1"/>
  <c r="AJ20" i="26"/>
  <c r="AK41" i="26" s="1"/>
  <c r="M12" i="27"/>
  <c r="N28" i="27" s="1"/>
  <c r="AK42" i="26"/>
  <c r="AK40" i="26"/>
  <c r="AJ37" i="26"/>
  <c r="AJ45" i="26" s="1"/>
  <c r="O51" i="14"/>
  <c r="O54" i="14"/>
  <c r="O50" i="14"/>
  <c r="O56" i="14"/>
  <c r="O52" i="14"/>
  <c r="O53" i="14"/>
  <c r="O78" i="14"/>
  <c r="O83" i="14"/>
  <c r="O128" i="14"/>
  <c r="O134" i="14"/>
  <c r="O124" i="14"/>
  <c r="O112" i="14"/>
  <c r="O129" i="14"/>
  <c r="O119" i="14"/>
  <c r="O132" i="14"/>
  <c r="O67" i="16"/>
  <c r="O49" i="14"/>
  <c r="O58" i="16"/>
  <c r="O86" i="14"/>
  <c r="O76" i="14"/>
  <c r="O88" i="14"/>
  <c r="O104" i="16"/>
  <c r="O98" i="16"/>
  <c r="O114" i="16"/>
  <c r="O95" i="16"/>
  <c r="O111" i="16"/>
  <c r="O108" i="16"/>
  <c r="O97" i="16"/>
  <c r="O113" i="16"/>
  <c r="O26" i="14"/>
  <c r="O112" i="16"/>
  <c r="O102" i="16"/>
  <c r="O100" i="16"/>
  <c r="O99" i="16"/>
  <c r="O115" i="16"/>
  <c r="O116" i="16"/>
  <c r="O101" i="16"/>
  <c r="O82" i="16"/>
  <c r="O30" i="14"/>
  <c r="O90" i="16"/>
  <c r="O106" i="16"/>
  <c r="O87" i="16"/>
  <c r="O103" i="16"/>
  <c r="O88" i="16"/>
  <c r="O89" i="16"/>
  <c r="O28" i="14"/>
  <c r="O79" i="14"/>
  <c r="O87" i="14"/>
  <c r="O36" i="16"/>
  <c r="O89" i="14"/>
  <c r="O80" i="14"/>
  <c r="O34" i="16"/>
  <c r="O85" i="14"/>
  <c r="O75" i="14"/>
  <c r="O77" i="14"/>
  <c r="O82" i="14"/>
  <c r="O65" i="16"/>
  <c r="O60" i="16"/>
  <c r="O62" i="16"/>
  <c r="O59" i="16"/>
  <c r="O64" i="16"/>
  <c r="O66" i="16"/>
  <c r="O63" i="16"/>
  <c r="O61" i="16"/>
  <c r="Q14" i="3"/>
  <c r="Q51" i="3"/>
  <c r="Q72" i="3"/>
  <c r="O124" i="15"/>
  <c r="O55" i="15"/>
  <c r="Q65" i="3"/>
  <c r="Q59" i="3"/>
  <c r="O31" i="15"/>
  <c r="O84" i="15"/>
  <c r="AJ10" i="22"/>
  <c r="Q13" i="3" l="1"/>
  <c r="AK39" i="1" s="1"/>
  <c r="O45" i="14"/>
  <c r="N25" i="27"/>
  <c r="N26" i="27" s="1"/>
  <c r="O105" i="14"/>
  <c r="O23" i="14"/>
  <c r="Q50" i="3"/>
  <c r="O84" i="16"/>
  <c r="O72" i="14"/>
  <c r="O30" i="16"/>
  <c r="O55" i="16"/>
  <c r="O17" i="15"/>
  <c r="Q35" i="3" s="1"/>
  <c r="Q55" i="3"/>
  <c r="Q61" i="3"/>
  <c r="Q49" i="3" l="1"/>
  <c r="Q56" i="3"/>
  <c r="O9" i="14"/>
  <c r="Q34" i="3" s="1"/>
  <c r="O16" i="16"/>
  <c r="AK83" i="1"/>
  <c r="AK13" i="1" l="1"/>
  <c r="Q33" i="3"/>
  <c r="Q53" i="3"/>
  <c r="AK33" i="1" l="1"/>
  <c r="AK77" i="1" s="1"/>
  <c r="Q36" i="3"/>
  <c r="AK12" i="1"/>
  <c r="AK10" i="1"/>
  <c r="AK57" i="1"/>
  <c r="AK32" i="1" l="1"/>
  <c r="AK54" i="1"/>
  <c r="AK8" i="22" s="1"/>
  <c r="AK26" i="1"/>
  <c r="AK70" i="1" s="1"/>
  <c r="AK12" i="22" s="1"/>
  <c r="AK8" i="1"/>
  <c r="AK9" i="1"/>
  <c r="AK11" i="1"/>
  <c r="AK55" i="1" s="1"/>
  <c r="AK56" i="1"/>
  <c r="AK53" i="1" l="1"/>
  <c r="AK25" i="1"/>
  <c r="AK7" i="1"/>
  <c r="AK51" i="1" s="1"/>
  <c r="AK52" i="1"/>
  <c r="AK7" i="22" s="1"/>
  <c r="AK6" i="1"/>
  <c r="AK50" i="1" s="1"/>
  <c r="AK6" i="22" s="1"/>
  <c r="AK24" i="1"/>
  <c r="AK25" i="26"/>
  <c r="AK35" i="1"/>
  <c r="AK76" i="1"/>
  <c r="AK26" i="26" l="1"/>
  <c r="AK79" i="1"/>
  <c r="AK36" i="1"/>
  <c r="AK22" i="1"/>
  <c r="AK66" i="1" s="1"/>
  <c r="AK68" i="1"/>
  <c r="AK11" i="22" s="1"/>
  <c r="AK69" i="1"/>
  <c r="AK23" i="1"/>
  <c r="AK67" i="1" s="1"/>
  <c r="AK37" i="26" l="1"/>
  <c r="AK20" i="26"/>
  <c r="AK10" i="22"/>
  <c r="N12" i="27"/>
  <c r="AK28" i="26"/>
  <c r="AK39" i="26" s="1"/>
  <c r="AK43" i="1"/>
  <c r="AK80" i="1"/>
  <c r="AK88" i="1" l="1"/>
  <c r="AK18" i="22" s="1"/>
  <c r="AK19" i="22" s="1"/>
  <c r="AK45" i="1"/>
  <c r="AK90" i="1" s="1"/>
  <c r="AK45" i="26"/>
</calcChain>
</file>

<file path=xl/sharedStrings.xml><?xml version="1.0" encoding="utf-8"?>
<sst xmlns="http://schemas.openxmlformats.org/spreadsheetml/2006/main" count="889" uniqueCount="412">
  <si>
    <t>SALDOS DEUDA TOTAL GNC</t>
  </si>
  <si>
    <t>Miles de Millones de Pesos</t>
  </si>
  <si>
    <t xml:space="preserve">1. Deuda Bruta </t>
  </si>
  <si>
    <t>Deuda Bruta con CUN sin CxP</t>
  </si>
  <si>
    <t xml:space="preserve"> 1.1  Interna (2.1+3+4)</t>
  </si>
  <si>
    <t>Interna con CUN sin CxPagar (2.1+3+CUN)</t>
  </si>
  <si>
    <t xml:space="preserve"> 1.2 Externa (2.2)</t>
  </si>
  <si>
    <t>2. Deuda Financiera</t>
  </si>
  <si>
    <t>2.1 Interna</t>
  </si>
  <si>
    <t>2.2 Externa</t>
  </si>
  <si>
    <t>3. Pagarés</t>
  </si>
  <si>
    <t>4. Cuentas por pagar</t>
  </si>
  <si>
    <t>Cuentas por pagar presupuestales</t>
  </si>
  <si>
    <t>Cuenta Única Nacional</t>
  </si>
  <si>
    <t>Reconocimiento de pasivos - PGN 2019 y PND 2018-2022</t>
  </si>
  <si>
    <t>5. Activos</t>
  </si>
  <si>
    <t>5.1 Internos 1/</t>
  </si>
  <si>
    <t>5.2 Externos</t>
  </si>
  <si>
    <t>6. Deuda neta</t>
  </si>
  <si>
    <t>Deuda Neta con CUN sin CxP</t>
  </si>
  <si>
    <t>Interna (1.1-5.1)</t>
  </si>
  <si>
    <t>Interna con CUN sin CxPagar (neta)</t>
  </si>
  <si>
    <t>Externa (1.2-5.2)</t>
  </si>
  <si>
    <t>1/ A partir de esta fecha de publicación se incluye los pagarés del FEPC con la Tesoreria</t>
  </si>
  <si>
    <t xml:space="preserve">Fuente: DGPM -Ministerio de Hacienda y Crédito Público </t>
  </si>
  <si>
    <t>Como % del PIB</t>
  </si>
  <si>
    <t>$ millones</t>
  </si>
  <si>
    <t>Balance primario</t>
  </si>
  <si>
    <t>Intereses</t>
  </si>
  <si>
    <t>Por deuda externa</t>
  </si>
  <si>
    <t>Vigente</t>
  </si>
  <si>
    <t>Por deuda interna</t>
  </si>
  <si>
    <t>Por indexaciones (TES B)</t>
  </si>
  <si>
    <t>Balance total</t>
  </si>
  <si>
    <t>Balance a financiar (nuevas emisiones)</t>
  </si>
  <si>
    <t>Con deuda interna</t>
  </si>
  <si>
    <t>Nuevas emisiones</t>
  </si>
  <si>
    <t>Amortizaciones modelo</t>
  </si>
  <si>
    <t>Con deuda externa</t>
  </si>
  <si>
    <t>Nuevas emisiones *</t>
  </si>
  <si>
    <t>Emisiones deuda vigente</t>
  </si>
  <si>
    <t>Amortizaciones deuda vigente interna</t>
  </si>
  <si>
    <t>Necesidades de financiamiento</t>
  </si>
  <si>
    <t>Externa</t>
  </si>
  <si>
    <t>Total Intereses Interna con indexaciones</t>
  </si>
  <si>
    <t>Total Intereses</t>
  </si>
  <si>
    <t>Concepto</t>
  </si>
  <si>
    <t>Crecimiento (%)</t>
  </si>
  <si>
    <t>Necesidades de Financiamiento (COP Millones)</t>
  </si>
  <si>
    <t>Deuda Interna</t>
  </si>
  <si>
    <t>Deuda Externa</t>
  </si>
  <si>
    <t>Déficit a Financiar</t>
  </si>
  <si>
    <t>Por COP</t>
  </si>
  <si>
    <t>Por UVR</t>
  </si>
  <si>
    <t>Amortizaciones Deuda Vigente</t>
  </si>
  <si>
    <t>FUENTES</t>
  </si>
  <si>
    <t>USOS</t>
  </si>
  <si>
    <t>Desembolsos</t>
  </si>
  <si>
    <t>Externos</t>
  </si>
  <si>
    <t>De los cuales:</t>
  </si>
  <si>
    <t>Intereses Internos</t>
  </si>
  <si>
    <t>Intereses Externos</t>
  </si>
  <si>
    <t>Internos</t>
  </si>
  <si>
    <t>Amortizaciones</t>
  </si>
  <si>
    <t>Externas</t>
  </si>
  <si>
    <t>Internas</t>
  </si>
  <si>
    <t>Operaciones de Tesoreria</t>
  </si>
  <si>
    <t xml:space="preserve">Disponibilidad Inicial </t>
  </si>
  <si>
    <t>Disponibilidad Final</t>
  </si>
  <si>
    <t>Fuentes y Usos del Financiamiento del GNC 2023</t>
  </si>
  <si>
    <t>(COP millones)</t>
  </si>
  <si>
    <t>COP</t>
  </si>
  <si>
    <t>UVR</t>
  </si>
  <si>
    <t>Fecha corte</t>
  </si>
  <si>
    <t>Perfil de Vencimientos - deuda interna</t>
  </si>
  <si>
    <t>Período de servicio</t>
  </si>
  <si>
    <t>Total</t>
  </si>
  <si>
    <t>Perfil de Vencimientos - deuda externa</t>
  </si>
  <si>
    <t>Moneda</t>
  </si>
  <si>
    <t>Vencimiento</t>
  </si>
  <si>
    <t>Valor Nominal</t>
  </si>
  <si>
    <t>Total Tasa Fija UVR</t>
  </si>
  <si>
    <t>UVR:</t>
  </si>
  <si>
    <t>Cifras en Millones de Pesos</t>
  </si>
  <si>
    <t>Cotización Obligatoria</t>
  </si>
  <si>
    <t>Plazo (años)</t>
  </si>
  <si>
    <t>Tasa Cupón*</t>
  </si>
  <si>
    <t>Interna</t>
  </si>
  <si>
    <t>Cupón</t>
  </si>
  <si>
    <t>Yield</t>
  </si>
  <si>
    <t>YTM</t>
  </si>
  <si>
    <t>Cierre</t>
  </si>
  <si>
    <t>% del PIB</t>
  </si>
  <si>
    <t>Composición de la emisión de deuda</t>
  </si>
  <si>
    <t>Supuesto</t>
  </si>
  <si>
    <t>Inflación</t>
  </si>
  <si>
    <t>Composición COP</t>
  </si>
  <si>
    <t>5 años / Vencimiento</t>
  </si>
  <si>
    <t>10 años / Vencimiento</t>
  </si>
  <si>
    <t>30 años / Vencimiento</t>
  </si>
  <si>
    <t>Composición UVR</t>
  </si>
  <si>
    <t>Tasa de cambio</t>
  </si>
  <si>
    <t>PIB nominal</t>
  </si>
  <si>
    <t>Nivel</t>
  </si>
  <si>
    <t>PIB real</t>
  </si>
  <si>
    <t>Tasa cupón</t>
  </si>
  <si>
    <t>Balance primario (signo invertido)</t>
  </si>
  <si>
    <t>Ponderación</t>
  </si>
  <si>
    <t>Tasa de mercado COP por plazo</t>
  </si>
  <si>
    <t>Tasa de mercado UVR por plazo</t>
  </si>
  <si>
    <t>Emisión nóminal COP</t>
  </si>
  <si>
    <t>Emisión nóminal USD</t>
  </si>
  <si>
    <t>Prima/Descuento</t>
  </si>
  <si>
    <t>Intereses modelo años anteriores</t>
  </si>
  <si>
    <t>Intereses modelo año corriente</t>
  </si>
  <si>
    <t>Nominal emisión COP</t>
  </si>
  <si>
    <t>Nominal emisión UVR</t>
  </si>
  <si>
    <t>UVR fin de</t>
  </si>
  <si>
    <t>Nominal vencimiento UVR</t>
  </si>
  <si>
    <t>Emisión en unidades UVR</t>
  </si>
  <si>
    <t>Nominal al vencimiento en COP</t>
  </si>
  <si>
    <t>Pago de Intereses (COP Millones)</t>
  </si>
  <si>
    <t>Deuda Vigente</t>
  </si>
  <si>
    <t>Deuda Emitida Modelo</t>
  </si>
  <si>
    <t>Prima/
Descuento</t>
  </si>
  <si>
    <t>Total Intereses Interna</t>
  </si>
  <si>
    <t>Total Intereses Externa</t>
  </si>
  <si>
    <t>Saldo Total de la Deuda (COP Millones)</t>
  </si>
  <si>
    <t>Otros saldos de deuda</t>
  </si>
  <si>
    <t>Indexaciones</t>
  </si>
  <si>
    <t>Indexaciones Vigentes</t>
  </si>
  <si>
    <t>Indexaciones Modelo</t>
  </si>
  <si>
    <t>Total indexaciones</t>
  </si>
  <si>
    <t>Otros Saldos de Deuda</t>
  </si>
  <si>
    <t>UVR t-1</t>
  </si>
  <si>
    <t>Diferencia</t>
  </si>
  <si>
    <t>Valor en UVR</t>
  </si>
  <si>
    <t>Año</t>
  </si>
  <si>
    <t>Amortizaciones modelo USD</t>
  </si>
  <si>
    <t>Amortizaciones modelo COP</t>
  </si>
  <si>
    <t>Amortizaciones modelo UVR</t>
  </si>
  <si>
    <t>Concepto (millones de pesos)</t>
  </si>
  <si>
    <t>Necesidades de Financiamiento - Interna</t>
  </si>
  <si>
    <t>Necesidades de Financiamiento - Externa</t>
  </si>
  <si>
    <t>Total Deuda interna</t>
  </si>
  <si>
    <t>Total Deuda externa</t>
  </si>
  <si>
    <t>PIB Interno Nominal ($ Miles de millones)</t>
  </si>
  <si>
    <t>Emisiones vigentes</t>
  </si>
  <si>
    <t>https://www.irc.gov.co/webcenter/portal/IRCEs/pages_Deuda/deudainternagnc/emisionesvigentes/p2022</t>
  </si>
  <si>
    <t>Pagarés</t>
  </si>
  <si>
    <t>Cuentas por pagar</t>
  </si>
  <si>
    <t>Activos financieros</t>
  </si>
  <si>
    <t>Objetivo de la herramienta:</t>
  </si>
  <si>
    <t>Advertencias:</t>
  </si>
  <si>
    <t>Agradecimientos:</t>
  </si>
  <si>
    <t>HERRAMIENTA PARA LA PROYECCIÓN DE LA DEUDA DEL GOBIERNO NACIONAL CENTRAL EN EL MEDIANO PLAZO</t>
  </si>
  <si>
    <t>Tasa de crecimiento nominal (%)</t>
  </si>
  <si>
    <t>Tasa de interés implícita externa</t>
  </si>
  <si>
    <t>Tasa de interés implícita total</t>
  </si>
  <si>
    <t>Ajustes por causación</t>
  </si>
  <si>
    <t>Modelo</t>
  </si>
  <si>
    <t>Emisiones deuda vigente interna</t>
  </si>
  <si>
    <t>Emisiones deuda vigente externa</t>
  </si>
  <si>
    <t>US$</t>
  </si>
  <si>
    <t>Pago de Obligaciones (sentencias, salud, otros)</t>
  </si>
  <si>
    <t>Cuenta única nacional (CUN)</t>
  </si>
  <si>
    <t>Año vencimiento</t>
  </si>
  <si>
    <t>De los cuales prima/(descuento)</t>
  </si>
  <si>
    <t>Tasas MFMP</t>
  </si>
  <si>
    <t>Tasa interna modelo</t>
  </si>
  <si>
    <t>Tasa externa modelo</t>
  </si>
  <si>
    <t>Amortizaciones Deuda Vigente en USD</t>
  </si>
  <si>
    <t>TRM promedio</t>
  </si>
  <si>
    <t>Emisiones (amortizaciones) deuda vigente (COP)</t>
  </si>
  <si>
    <t>Deuda emitida modelo total (COP)</t>
  </si>
  <si>
    <t>Intereses modelo (deuda nueva) (COP)</t>
  </si>
  <si>
    <t>Nuevas emisiones (USD)</t>
  </si>
  <si>
    <t>Emisiones (amortizaciones) deuda vigente (USD)</t>
  </si>
  <si>
    <t>Deuda emitida modelo total (USD)</t>
  </si>
  <si>
    <t>Prima/Descuento (USD)</t>
  </si>
  <si>
    <t>Intereses modelo (deuda nueva) (USD)</t>
  </si>
  <si>
    <t>Nueva deuda emitida en USD</t>
  </si>
  <si>
    <t>Aumento neto de la deuda en USD</t>
  </si>
  <si>
    <t>Intereses en USD</t>
  </si>
  <si>
    <t>Cupón ponderado modelo</t>
  </si>
  <si>
    <t>Total interna</t>
  </si>
  <si>
    <t>Total externa</t>
  </si>
  <si>
    <t>TOTAL</t>
  </si>
  <si>
    <t>(UDS millones)</t>
  </si>
  <si>
    <t>Plazo</t>
  </si>
  <si>
    <t>Rendimiento de mercado</t>
  </si>
  <si>
    <t>5 años</t>
  </si>
  <si>
    <t>10 años</t>
  </si>
  <si>
    <t>15 años</t>
  </si>
  <si>
    <t>30 años</t>
  </si>
  <si>
    <t>20 años</t>
  </si>
  <si>
    <t>Cierre ($)</t>
  </si>
  <si>
    <t>Promedio ($)</t>
  </si>
  <si>
    <t>Depreciación cierre (%)</t>
  </si>
  <si>
    <t>Depreciación promedio (%)</t>
  </si>
  <si>
    <t>Anual fin de periodo (%)</t>
  </si>
  <si>
    <t>Composición deuda interna</t>
  </si>
  <si>
    <t>Composición deuda externa</t>
  </si>
  <si>
    <t>Bonos</t>
  </si>
  <si>
    <t>Multilaterales</t>
  </si>
  <si>
    <t>Composición Multilaterales</t>
  </si>
  <si>
    <t>Tasa de multilaterales</t>
  </si>
  <si>
    <t>Composición Externa Bonos</t>
  </si>
  <si>
    <t>Tasa de bonos externos USD por plazo</t>
  </si>
  <si>
    <t>Tasa</t>
  </si>
  <si>
    <t>Por Bonos</t>
  </si>
  <si>
    <t>Por Multilaterales</t>
  </si>
  <si>
    <t>Reconocimiento de pasivos</t>
  </si>
  <si>
    <t>Detalle intereses internos</t>
  </si>
  <si>
    <t>Intereses Caja</t>
  </si>
  <si>
    <t>Causaciones</t>
  </si>
  <si>
    <t>Total Int. internos</t>
  </si>
  <si>
    <t>TRM implícita</t>
  </si>
  <si>
    <t>Estructura del archivo:</t>
  </si>
  <si>
    <t>Fecha de corte:</t>
  </si>
  <si>
    <t>Calculo de las indexaciones</t>
  </si>
  <si>
    <t>Típo de título</t>
  </si>
  <si>
    <t>TES</t>
  </si>
  <si>
    <t>Saldo TES emitido vigente (en UVR)</t>
  </si>
  <si>
    <t>Amortizaciones deuda vigente externa</t>
  </si>
  <si>
    <t>Amortizaciones internas</t>
  </si>
  <si>
    <t>Amortizaciones externas</t>
  </si>
  <si>
    <t>Desembolsos internos</t>
  </si>
  <si>
    <t>Desembolsos externos</t>
  </si>
  <si>
    <t>Prima/(Descuento)</t>
  </si>
  <si>
    <t>Fuentes y Usos del Financiamiento del GNC 2024</t>
  </si>
  <si>
    <t>https://www.irc.gov.co/webcenter/portal/IRCEs/pages_Deuda/perfildeudapblicagnc/perfildeudapblicagnchistorico</t>
  </si>
  <si>
    <t>Desembolsos y amortizaciones</t>
  </si>
  <si>
    <t>Variables</t>
  </si>
  <si>
    <t>El archivo está organizado en tres partes:
1) Las hojas con color azul contienen información insumo para el modelo, la cual puede ser actualizada por el usuario a partir de información histórica u observada públicada por el Ministerio de Hacienda y Crédito Público.
2) Las hojas de color gris contienen los supuestos del modelo, así como los calculos intermedios para obtener la deuda proyectada del GNC. en la hoja de supuestos se deben incluir los supuestos con los que se quiera simular la deuda.
3) Las hojas verdes contienen los resultados del modelo, incluyendo las sendas proyectadas de la deuda y la descomposición de la dinámica de la misma.</t>
  </si>
  <si>
    <t>Externo ponderado</t>
  </si>
  <si>
    <t>Interno ponderado</t>
  </si>
  <si>
    <t>Internos (% del PIB)</t>
  </si>
  <si>
    <t>Externos (% del PIB)</t>
  </si>
  <si>
    <t>Nivel (millones de $ corrientes)</t>
  </si>
  <si>
    <t>Internos (millones de $ corrientes)</t>
  </si>
  <si>
    <t>Externos (millones de $ corrientes)</t>
  </si>
  <si>
    <t>Indexa-ciones</t>
  </si>
  <si>
    <t>Tasa de interés implícita interna (sin indexaciones)</t>
  </si>
  <si>
    <t>Tasa de interés implícita interna total</t>
  </si>
  <si>
    <t>Nota: Corresponde al cupón promedio de la deuda, publicado por el MHCP en el archivo histórico de la deuda del GNC.</t>
  </si>
  <si>
    <t>Cupón interno MH</t>
  </si>
  <si>
    <t>Cupón externo MHCP</t>
  </si>
  <si>
    <t>MFMP 2023</t>
  </si>
  <si>
    <t>Dinámica de la deuda</t>
  </si>
  <si>
    <t>Crecimiento real</t>
  </si>
  <si>
    <t>Contribuciones:</t>
  </si>
  <si>
    <t>Tasa de crecimiento real (%)</t>
  </si>
  <si>
    <t>Inflación (%)</t>
  </si>
  <si>
    <t>Balance primario (% del PIB)</t>
  </si>
  <si>
    <t>Ajuste (flujo-saldo)</t>
  </si>
  <si>
    <t>Flujo de activos financieros</t>
  </si>
  <si>
    <t>Rendimiento ponderado</t>
  </si>
  <si>
    <t>Cupones ponderados</t>
  </si>
  <si>
    <t>Saldo de la deuda externa (USD millones)</t>
  </si>
  <si>
    <t>Saldo de la deuda interna indexada (UVR)</t>
  </si>
  <si>
    <t>Deuda indexada</t>
  </si>
  <si>
    <t>Prima/(Descuento) (COP)</t>
  </si>
  <si>
    <t>Intereses modelo años anteriores (COP)</t>
  </si>
  <si>
    <t>Intereses modelo año corriente (COP)</t>
  </si>
  <si>
    <t>Indexaciones modelo (COP)</t>
  </si>
  <si>
    <t>Emisiones vigentes modelo (UVR)</t>
  </si>
  <si>
    <t>Nuevas emisiones (UVR)</t>
  </si>
  <si>
    <t>Deuda emitida modelo total (UVR)</t>
  </si>
  <si>
    <t>Deuda Vigente en UVR</t>
  </si>
  <si>
    <t>Amortizaciones Deuda Vigente en UVR</t>
  </si>
  <si>
    <t>Nueva deuda emitida en UVR</t>
  </si>
  <si>
    <t>Emisiones (amortizaciones) deuda vigente (UVR)</t>
  </si>
  <si>
    <t>Aumento neto de la deuda en UVR</t>
  </si>
  <si>
    <t>Total Deuda interna en UVR</t>
  </si>
  <si>
    <t>Total amortizaciones</t>
  </si>
  <si>
    <t>V 1.0 (15-oct-2023)</t>
  </si>
  <si>
    <t>Instrucciones para el uso del modelo:</t>
  </si>
  <si>
    <t xml:space="preserve">1) Actualizar las hojas azules con la última información disponible o la proyección más probable del fuentes y usos del Gobierno Central, el perfil de vencimientos de la deuda pública interna y externa y los saldos de los TES vigentes en UVR.
2) Actualizar los supuestos macroeconómicos y fiscales con la proyección más probable o el escenario que se desea proyectar.
3) Obtener las sendas de deuda y los resultados finales de las hojas "SALIDA" y "Variación de la deuda".
</t>
  </si>
  <si>
    <t xml:space="preserve">Se agradece al Ministerio de Hacienda y Crédito Público por el insumo inicial provisto al CARF y por las discusiones sobre el mismo. También se agradece al equipo técnico del Banco de la República por los comentarios y colaboración para el desarrollo de algunas secciones de la herramienta. </t>
  </si>
  <si>
    <t>La presente herramienta es un instrumento analítico que no compromete las opiniones o pronunciamientos del CARF ni de las entidades que colaboraron con insumos para su construcción. Los resultados arrojados por la herramienta no son una proyección oficial ni debe ser utilizada para la toma de decisiones o transacciones financieras pues solo tiene fines analíticos, pedagógicos e informativos. El uso e interpretación de la información resultado de la herramienta, es responsabilidad exclusiva del usuario o receptor.</t>
  </si>
  <si>
    <t xml:space="preserve">Perfil de vencimientos </t>
  </si>
  <si>
    <r>
      <rPr>
        <b/>
        <sz val="11"/>
        <color rgb="FF4074C8"/>
        <rFont val="Helvetica"/>
        <family val="2"/>
      </rPr>
      <t xml:space="preserve">Nota para el usuario: </t>
    </r>
    <r>
      <rPr>
        <sz val="11"/>
        <color rgb="FF4074C8"/>
        <rFont val="Helvetica"/>
        <family val="2"/>
      </rPr>
      <t>Actualizar con la información del archivo del Perfil de la Deuda de la web de Ministerio de Hacienda y Crédito Público. Para la deuda externa se toman los valores en dólares y se convierten en pesos con la tasa de cambio que se utilice para las proyecciones</t>
    </r>
  </si>
  <si>
    <t>Fuentes y Usos</t>
  </si>
  <si>
    <t>En esta hoja se debe incluir el saldo vigente de los TES denominados en UVR con el fin de calcular las indexaciones de estos títulos, es decir, el valor que aumenta el saldo de la deuda debido al aumento de la UVR. Las indexaciones se incluyen como parte de los intereses de la deuda del GNC por lo cual se deben proyectar y sumar a los intereses de caja.</t>
  </si>
  <si>
    <t>Supuestos</t>
  </si>
  <si>
    <t>Saldo vigente de los TES en UVR</t>
  </si>
  <si>
    <r>
      <t xml:space="preserve">Nota para el usuario: </t>
    </r>
    <r>
      <rPr>
        <sz val="11"/>
        <color rgb="FF4074C8"/>
        <rFont val="Helvetica"/>
        <family val="2"/>
      </rPr>
      <t>Actualizar las celdas en naranja con la información del escenario que se quiere simular.</t>
    </r>
  </si>
  <si>
    <t>Nueva deuda a emitir</t>
  </si>
  <si>
    <t>TRM cierre</t>
  </si>
  <si>
    <t>Depreciación fin de</t>
  </si>
  <si>
    <t>Depreciación promedio</t>
  </si>
  <si>
    <t>Participación de la deuda externa</t>
  </si>
  <si>
    <t>Unidades</t>
  </si>
  <si>
    <t>Nivel (Miles de millones de $ corrientes)</t>
  </si>
  <si>
    <t>Balance primario (signo negativo)</t>
  </si>
  <si>
    <t>Total intereses (sin indexaciones)</t>
  </si>
  <si>
    <t>Fuente datos observados: DGPM -Ministerio de Hacienda y Crédito Público (https://www.minhacienda.gov.co/webcenter/portal/EntidadesFinancieras/pages_EntidadesFinancieras/PoliticaFiscal/dgg/deudagobiernonacionalcentral)</t>
  </si>
  <si>
    <t>En esta hoja se deben incluir los supuestos sobre los cuales se quiere modelar la senda de deuda. Se puede modelar un escenario y cambiar supuestos para hacer análisis de sensibilidad.</t>
  </si>
  <si>
    <t>Ver sugerencias sobre fuentes a consultar para los supuestos</t>
  </si>
  <si>
    <t>Nuevas emisiones (COP) (déficit y deuda modelo)</t>
  </si>
  <si>
    <t>Nuevas emisiones (déficit y deuda modelo)</t>
  </si>
  <si>
    <t>Nuevas emisiones (déficit y deuda modelo) (COP)</t>
  </si>
  <si>
    <t>Nuevas emisiones (déficit y amortizaciones modelo) (COP)</t>
  </si>
  <si>
    <t>CONCEPTO</t>
  </si>
  <si>
    <t>Ciclo económico</t>
  </si>
  <si>
    <t>Ciclo petrolero</t>
  </si>
  <si>
    <t>Transacciones de única vez</t>
  </si>
  <si>
    <t>Rendimientos financieros</t>
  </si>
  <si>
    <t>Meta de la regla (BPNE)</t>
  </si>
  <si>
    <t>Ajuste (-) o excedente (+)</t>
  </si>
  <si>
    <t>Meta de la regla con fórmula</t>
  </si>
  <si>
    <t>Cumplimiento de la regla fiscal</t>
  </si>
  <si>
    <t>BPNE (Observado/Proyectado)</t>
  </si>
  <si>
    <t>Meta de la regla en la transición</t>
  </si>
  <si>
    <t>Introducción</t>
  </si>
  <si>
    <t>Descomposición de la dinámica de la deuda</t>
  </si>
  <si>
    <t>SALIDA</t>
  </si>
  <si>
    <t>Gráficos</t>
  </si>
  <si>
    <t>Ir a:</t>
  </si>
  <si>
    <t>Cumplimiento de la regla</t>
  </si>
  <si>
    <t>En esta hoja se incluye el perfil de vencimientos de la deuda ya emitida por el gobierno (vigente). Con las amortizaciones de esta hoja se proyecta cómo la deuda actual se va a ir reduciendo en la medida que el gobierno amortice la deuda interna y externa. El modelo proyecta el año en curso, por lo que se recomienda utilizar el perfil del cierre de la vigencia anterior. Si se utiliza un perfil más reciente, debe revisarse que no se duplique la emisión de deuda.</t>
  </si>
  <si>
    <t>+ Saldo de deuda en títulos (TES)</t>
  </si>
  <si>
    <t>+ Saldo de deuda en bonos y multilaterales</t>
  </si>
  <si>
    <t>= Deuda financiera del GNC</t>
  </si>
  <si>
    <t>+ Pagarés de Tesorería</t>
  </si>
  <si>
    <t>+ Cuentas por Pagar (PGN, CUN, Rec. Pasivos)</t>
  </si>
  <si>
    <t>= Deuda bruta del GNC</t>
  </si>
  <si>
    <t>- Activos internos (bonos y depósitos MN)</t>
  </si>
  <si>
    <t>- Activos externos (depósitos ME)</t>
  </si>
  <si>
    <t>= Deuda Neta del GNC</t>
  </si>
  <si>
    <t>➡</t>
  </si>
  <si>
    <t>Corresponde a:</t>
  </si>
  <si>
    <t>Recomendaciones sobre los supuestos:</t>
  </si>
  <si>
    <r>
      <rPr>
        <b/>
        <sz val="9.9"/>
        <color rgb="FF4074C8"/>
        <rFont val="Helvetica"/>
        <family val="2"/>
      </rPr>
      <t xml:space="preserve">Nota para el usuario: </t>
    </r>
    <r>
      <rPr>
        <sz val="11"/>
        <color rgb="FF4074C8"/>
        <rFont val="Helvetica"/>
        <family val="2"/>
      </rPr>
      <t>Los dos cuadros se deben actualizar con la última información disponible en el Plan Financiero o el Marco Fiscal de Mediano Plazo, o con la información del escenario que se desea simular. El modelo toma la información de amortizaciones e intereses para la vigencia actual y siguiente, de lo que se incluya en esta hoja.</t>
    </r>
  </si>
  <si>
    <t>Detalle de los intereses internos</t>
  </si>
  <si>
    <t>Variación total de la deuda</t>
  </si>
  <si>
    <r>
      <t>En esta hoja se realiza una desagregación de la dinámica de la deuda entre sus diferentes factores explicativos. Esta ecuación de acumulación de deuda pública tiene como objetivo identificar las contribuciones de seis variables sobre el cambio en la relación de deuda sobre PIB: 1) el balance primario (</t>
    </r>
    <r>
      <rPr>
        <b/>
        <i/>
        <sz val="12"/>
        <color rgb="FF4396DB"/>
        <rFont val="Helvetica"/>
        <family val="2"/>
      </rPr>
      <t>b</t>
    </r>
    <r>
      <rPr>
        <sz val="11"/>
        <color theme="1"/>
        <rFont val="Helvetica"/>
        <family val="2"/>
      </rPr>
      <t>), 2) el crecimiento real (</t>
    </r>
    <r>
      <rPr>
        <b/>
        <i/>
        <sz val="12"/>
        <color rgb="FF4396DB"/>
        <rFont val="Helvetica"/>
        <family val="2"/>
      </rPr>
      <t>g</t>
    </r>
    <r>
      <rPr>
        <sz val="11"/>
        <color theme="1"/>
        <rFont val="Helvetica"/>
        <family val="2"/>
      </rPr>
      <t>), 3) la tasa de cambio (</t>
    </r>
    <r>
      <rPr>
        <b/>
        <i/>
        <sz val="12"/>
        <color rgb="FF4396DB"/>
        <rFont val="Helvetica"/>
        <family val="2"/>
      </rPr>
      <t>e</t>
    </r>
    <r>
      <rPr>
        <sz val="11"/>
        <color theme="1"/>
        <rFont val="Helvetica"/>
        <family val="2"/>
      </rPr>
      <t>), 4) los pagos de intereses (</t>
    </r>
    <r>
      <rPr>
        <b/>
        <i/>
        <sz val="12"/>
        <color rgb="FF4396DB"/>
        <rFont val="Helvetica"/>
        <family val="2"/>
      </rPr>
      <t>i</t>
    </r>
    <r>
      <rPr>
        <sz val="11"/>
        <color theme="1"/>
        <rFont val="Helvetica"/>
        <family val="2"/>
      </rPr>
      <t>), 5) la inflación (</t>
    </r>
    <r>
      <rPr>
        <b/>
        <i/>
        <sz val="12"/>
        <color rgb="FF4396DB"/>
        <rFont val="Helvetica"/>
        <family val="2"/>
      </rPr>
      <t>𝛑</t>
    </r>
    <r>
      <rPr>
        <sz val="11"/>
        <color theme="1"/>
        <rFont val="Helvetica"/>
        <family val="2"/>
      </rPr>
      <t>) y 6) los ajustes de flujo de existencias (</t>
    </r>
    <r>
      <rPr>
        <b/>
        <i/>
        <sz val="12"/>
        <color rgb="FF4396DB"/>
        <rFont val="Helvetica"/>
        <family val="2"/>
      </rPr>
      <t>sfa</t>
    </r>
    <r>
      <rPr>
        <sz val="11"/>
        <color theme="1"/>
        <rFont val="Helvetica"/>
        <family val="2"/>
      </rPr>
      <t>). Se toma la específicación del documento "Public Debt Decompositions in Emerging Economies: Methodology and Introduction of a Public Access Dashboard" (Humann, 2023). Disponible en:</t>
    </r>
  </si>
  <si>
    <r>
      <t xml:space="preserve">A pesar que la ecuación de la dinámica incluye los principales componentes que determinan la deuda, es posible que se presenten residuos que se capturan en el componente </t>
    </r>
    <r>
      <rPr>
        <b/>
        <i/>
        <sz val="12"/>
        <color rgb="FF4396DB"/>
        <rFont val="Helvetica"/>
        <family val="2"/>
      </rPr>
      <t>sfa</t>
    </r>
    <r>
      <rPr>
        <sz val="11"/>
        <color theme="1"/>
        <rFont val="Helvetica"/>
        <family val="2"/>
      </rPr>
      <t xml:space="preserve">. Una forma de entender el componente de </t>
    </r>
    <r>
      <rPr>
        <b/>
        <i/>
        <sz val="12"/>
        <color rgb="FF4396DB"/>
        <rFont val="Helvetica"/>
        <family val="2"/>
      </rPr>
      <t>sfa</t>
    </r>
    <r>
      <rPr>
        <sz val="11"/>
        <color theme="1"/>
        <rFont val="Helvetica"/>
        <family val="2"/>
      </rPr>
      <t xml:space="preserve"> es considerarlos como operaciones por debajo de la línea, es decir, flujos fiscales que generan pasivos adicionales y no generados directamente por el gasto público, a diferencia de las operaciones por encima de la línea. Ejemplo de ello pueden ser: transferencias a empresas estatales en dificultades o materialización de garantías, materialización de pasivos contingentes (por ejemplo, garantías o rescates), reestructuraciones de deuda, que aumentan los </t>
    </r>
    <r>
      <rPr>
        <b/>
        <i/>
        <sz val="12"/>
        <color rgb="FF4396DB"/>
        <rFont val="Helvetica"/>
        <family val="2"/>
      </rPr>
      <t>sfa</t>
    </r>
    <r>
      <rPr>
        <sz val="11"/>
        <color theme="1"/>
        <rFont val="Helvetica"/>
        <family val="2"/>
      </rPr>
      <t xml:space="preserve">, o cancelaciones de deuda o privatizaciones que reducen el </t>
    </r>
    <r>
      <rPr>
        <b/>
        <i/>
        <sz val="12"/>
        <color rgb="FF4396DB"/>
        <rFont val="Helvetica"/>
        <family val="2"/>
      </rPr>
      <t>sfa</t>
    </r>
    <r>
      <rPr>
        <sz val="11"/>
        <color theme="1"/>
        <rFont val="Helvetica"/>
        <family val="2"/>
      </rPr>
      <t>. Otra razón que puede explicar los residuos son cambios metodológicos en las estadísticas de deuda.</t>
    </r>
  </si>
  <si>
    <t>Otra fuente que se puede consultar para ahondar el análisis de la dinámica de la deuda es el documento "Staff guidance note on the sovereign risk and debt sustainability framework for market access countries" disponible en: https://www.imf.org/external/np/pp/eng/2013/050913.pdf</t>
  </si>
  <si>
    <t>Informativo</t>
  </si>
  <si>
    <r>
      <rPr>
        <b/>
        <sz val="11"/>
        <color rgb="FF4396DB"/>
        <rFont val="Helvetica"/>
        <family val="2"/>
      </rPr>
      <t xml:space="preserve">Nota para el usuario: </t>
    </r>
    <r>
      <rPr>
        <sz val="11"/>
        <color rgb="FF4396DB"/>
        <rFont val="Helvetica"/>
        <family val="2"/>
      </rPr>
      <t>En esta hoja se toman los datos de los supuestos y los resultados del modelo. A partir de la fila 36 se muestran los cálculos de la dinámica de la deuda y en la fila 47 los gráficos. No es necesario hacer cálculos adicionales en esta hoja.</t>
    </r>
  </si>
  <si>
    <t>En esta hoja el usuario puede simular el cumplimiento de las metas de la regla fiscal a partir del resultado de la deuda neta proyectada en la herramienta. Para ello se deben contrastar los resultados proyectados del Balance Primario Neto Estructural (BPNE) con el valor del BPNE requerido por la regla fiscal. Recuerde que entre 2022 y 2025 la regla fiscal tiene una metas de transición mientras que a partir de 2026, la meta se calcula a partir de la deuda observada en el periodo anterior.</t>
  </si>
  <si>
    <r>
      <rPr>
        <b/>
        <sz val="11"/>
        <color rgb="FF4396DB"/>
        <rFont val="Helvetica"/>
        <family val="2"/>
      </rPr>
      <t>Nota para el usuario:</t>
    </r>
    <r>
      <rPr>
        <sz val="11"/>
        <color rgb="FF4396DB"/>
        <rFont val="Helvetica"/>
        <family val="2"/>
      </rPr>
      <t xml:space="preserve"> El usuario debe incluir los valores de las celdas en naranja. En el MFMP, el MH publicó los valores para los componentes del Escenario del MFMP. Si los reemplaza en esta hoja para evaluar dicho escenario, tenga en cuenta que la información está a un sólo décimal y por ende puede verse afectada la conclusión por efecto del redondeo. Para modelar un escenario propio, recuerde que los calculos de los ciclos, económico y petrolero, deben ser consistentes con el escenario fiscal que se quiera modelar y que debe verse reflejado en el balance primario que se incluya en la hoja de supuestos.</t>
    </r>
  </si>
  <si>
    <t>Según la Ley 1473 de 2011, modificada por la Ley 2155 de 2021, las metas de la regla fiscal, definidas en términos del Balance Primario Neto Estructural (BPNE) son:</t>
  </si>
  <si>
    <t>De 2026 en adelante, el BPNE no podrá ser inferior a:</t>
  </si>
  <si>
    <t>Entre 2022 y 2025, el BPNE del GNC (en % del PIB) no podrá ser inferior que:
-4,7% del PIB en 2022
-1,4% del PIB en 2023
-0,2% del PIB en 2024
0,5% del PIB en 2025</t>
  </si>
  <si>
    <t>Ancla</t>
  </si>
  <si>
    <t>Límite</t>
  </si>
  <si>
    <t>(% del PIB)</t>
  </si>
  <si>
    <t xml:space="preserve">Deuda neta proyectada </t>
  </si>
  <si>
    <t>Escenario de regla fiscal</t>
  </si>
  <si>
    <t>Escenario de deuda neta del GNC</t>
  </si>
  <si>
    <t>Si este valor es negativo, el BPNE proyectado/observado sería menor a la meta requerida, por lo cual no se estaría cumpliendo la regla fiscal</t>
  </si>
  <si>
    <t>Los TES emitidos por el Gobierno Nacional en el mercado doméstico. En su mayoría se denominan en pesos y una parte en UVR.</t>
  </si>
  <si>
    <t>Los bonos emitidos por el gobierno en el mercado internacional y los créditos adquiridos con la banca multilateral. La mayoría de esta deuda se denomina en dólares.</t>
  </si>
  <si>
    <t>Esta es la TRM implícita en el Fuentes y Usos. La que se usa en el modelo es la que se incluya en la hoja de "Supuestos"</t>
  </si>
  <si>
    <r>
      <t xml:space="preserve">Bajo la metodología de caja modificada de las estadísticas de finanzas públicas que se aplica actualmente en las cifras fiscales, los intereses de la deuda incluyen tres conceptos, dos de caja y uno de causación:
</t>
    </r>
    <r>
      <rPr>
        <b/>
        <sz val="11"/>
        <color theme="1"/>
        <rFont val="Helvetica"/>
        <family val="2"/>
      </rPr>
      <t xml:space="preserve">- CAJA: </t>
    </r>
    <r>
      <rPr>
        <sz val="11"/>
        <color theme="1"/>
        <rFont val="Helvetica"/>
        <family val="2"/>
      </rPr>
      <t xml:space="preserve">
   1. Intereses de caja efectivamente pagados: Los cupones que se pagan por la deuda en poder del público.
   2. La prima o descuento en colocación de deuda: Cuando se colocan TES con prima (el gobierno recibe más caja que el valor nóminal de la deuda emítida) o a descuento (el gobierno recibe menos caja que el nominal), ese valor se suma a los intereses. Si hay prima, se reducen los intereses de caja y si hay descuento se aumentan los intereses de caja.
</t>
    </r>
    <r>
      <rPr>
        <b/>
        <sz val="11"/>
        <color theme="1"/>
        <rFont val="Helvetica"/>
        <family val="2"/>
      </rPr>
      <t xml:space="preserve">- CAUSACIÓN: </t>
    </r>
    <r>
      <rPr>
        <sz val="11"/>
        <color theme="1"/>
        <rFont val="Helvetica"/>
        <family val="2"/>
      </rPr>
      <t xml:space="preserve">
   1. Se suman las indexaciones de la deuda en UVR, es decir el efecto de valoración de esta deuda por cuenta del aumento de la UVR.</t>
    </r>
  </si>
  <si>
    <t>En esta hoja se incluye el fuentes y usos proyectado por el Gobierno para la vigencia actual y la vigencia siguiente. De esta hoja, el modelo toma los desembolsos y amortizaciones para 2023 y 2024 según lo proyectado en el MFMP o en el Plan Financiero más reciente. Si se quieren simular operaciones de manejo de deuda (por ejemplo: canjes o prefinanciamientos), que modifiquen las amortizaciones o los saldos de caja de la vigencia actual y siguiente, deben ser incluídos en esta hoja.</t>
  </si>
  <si>
    <t>Son los préstamos de corto plazo que la Tesorería General de la Nación obtiene de los fondos que están bajo su administración. Por ejemplo, del Sistema General de Regalías.</t>
  </si>
  <si>
    <r>
      <t xml:space="preserve">Nota para el usuario: </t>
    </r>
    <r>
      <rPr>
        <sz val="12"/>
        <color rgb="FF4074C8"/>
        <rFont val="Helvetica"/>
        <family val="2"/>
      </rPr>
      <t>Actualizar con la información del archivo de emisiones vigentes del Ministerio de Hacienda y Crédito Público.</t>
    </r>
    <r>
      <rPr>
        <b/>
        <sz val="12"/>
        <color rgb="FF4074C8"/>
        <rFont val="Helvetica"/>
        <family val="2"/>
      </rPr>
      <t xml:space="preserve"> Tenga en cuenta de revisar que la columba J (Valor en UVR) quede consistente con los vencimientos de la deuda</t>
    </r>
  </si>
  <si>
    <t>Nota: Para la fila 28 es necesario ajustar el saldo emitido vigente cuando se presenten cambios en los años de vencimiento. En cada año debe colocarse el saldo emitido vigente actualizado que considere las nuevas emisiones (en caso de que se utilicen referencias nuevas) y las amortizaciones cuando se den vencimientos.</t>
  </si>
  <si>
    <t>Notas o recomendaciones</t>
  </si>
  <si>
    <t>El supuesto de PIB nóminal debe ser coherente con el de PIB real y la inflación que se utilice en el escenario</t>
  </si>
  <si>
    <t>El supuesto de PIB real debe ser coherente con el de PIB nominal y la inflación que se utilice en el escenario</t>
  </si>
  <si>
    <t>Se actualiza con inflación</t>
  </si>
  <si>
    <t>Otras fuentes de financiación (operaciones de Tesorería)</t>
  </si>
  <si>
    <t>Deuda neta proyectada</t>
  </si>
  <si>
    <t>Deuda bruta proyectada</t>
  </si>
  <si>
    <t>Proyecciones</t>
  </si>
  <si>
    <t>RESULTADOS DE LA SIMULACION</t>
  </si>
  <si>
    <t>Intereses (sin indexaciones)</t>
  </si>
  <si>
    <t>En esta pestaña encuentra los gráficos de los principales resultados de la herramienta: La deuda bruta, la deuda neta, las necesidades de financiamiento y las tasas de interés.</t>
  </si>
  <si>
    <t>Cuentas que quedan pendiente de pago en el presupuesto al cierre de la vigencia (obligaciones menos pagos), al saldo de la Cuenta Unica Nacional y al reconocimiento de otros pasivos</t>
  </si>
  <si>
    <t>Saldos de la Tesorería General en el Banco de la República y saldos de TES en poder de la Tesorería</t>
  </si>
  <si>
    <t>Saldos de la Tesorería General en cuentas denominadas en moneda extranjera</t>
  </si>
  <si>
    <t>1.</t>
  </si>
  <si>
    <t xml:space="preserve">2. </t>
  </si>
  <si>
    <t>3.</t>
  </si>
  <si>
    <t>Para los supuestos de composición de la deuda nueva a emitir considere la Estrategia de Deuda del Gobierno Nacional (https://www.minhacienda.gov.co/webcenter/ShowProperty?nodeId=/ConexionContent/WCC_CLUSTER-111569#:~:text=La%20Estrategia%20de%20Gesti%C3%B3n%20de,del%20Gobierno%20Nacional%20Central%20%E2%80%93%20GNC.) o la actualización de supuestos que se indique en el MFMP más reciente.</t>
  </si>
  <si>
    <t>4.</t>
  </si>
  <si>
    <t>Para los supuestos de las tasas de interés puede revisar las características de las emisiones de títulos realizadas por el gobierno en el mercado interno (https://www.irc.gov.co/webcenter/ShowProperty?nodeId=%2FConexionContent%2FWCC_CLUSTER-229649%2F%2FidcPrimaryFile&amp;revision=latestreleased) y en el mercado extranjero (https://www.irc.gov.co/webcenter/portal/IRCEs/pages_Deuda/deudaexternagnc/bonosgnc/emisionesbonosgnc). Para el caso de la deuda con banca multilateral se recomienda consultar las tasas de bancos como el BID o el BM (https://treasury.worldbank.org/en/about/unit/treasury/ibrd-financial-products/lending-rates-and-fees).</t>
  </si>
  <si>
    <t>BONOS</t>
  </si>
  <si>
    <t>MULTILATERALES</t>
  </si>
  <si>
    <t>Fuente: MFMP 2023 o Plan Financiero más reciente.</t>
  </si>
  <si>
    <t>Revisar la estrategia de deuda del gobierno central o la composición de las emisiones en los últimos años</t>
  </si>
  <si>
    <t>Revisar la estrategia de deuda del gobierno central o la composición de las emisiones en los últimos años. Para los cupónes ver las referencias que ha usado el gobierno en el último año y su respectivo cupón y rendimiento</t>
  </si>
  <si>
    <t xml:space="preserve">Revisar la estrategia de deuda del gobierno central o la composición de las emisiones en los últimos años. </t>
  </si>
  <si>
    <t>Para las tasas visitar la página web del BID o BM y ver las tasas a las que le prestan a Colombia</t>
  </si>
  <si>
    <t>Revisar la estrategia de deuda del gobierno central o la composición de las emisiones en los últimos años. Para los cupónes ver las emisiones más recientes</t>
  </si>
  <si>
    <t>Considerar escenarios oficiales del MH y escenarios alternativos</t>
  </si>
  <si>
    <t>Canje de deuda interna</t>
  </si>
  <si>
    <t>Canje de deuda externa</t>
  </si>
  <si>
    <t>Para el año en curso y el siguiente, en estas filas se incluye la financiación que se obtiene a través de operaciones de Tesorería, según el fuente y usos. Es decir la que se genera a través de la emisión de otros pasivos (Ej. Pagarés) o disminución de activos (Ej. disponibilidad de caja).</t>
  </si>
  <si>
    <t>En estas filas se pueden incluir ajustes para simular un canje. Se deben sumar los títulos entregados en el año en que se hace el canje y restar en el año en que se reducen las amortizaciones originales de los títulos que se recogieron.</t>
  </si>
  <si>
    <t xml:space="preserve">Con el fin de contar con una herramienta consistente con la metodología oficial de cálculo de la deuda neta y con las proyecciones del GNC, el CARF pone a disposición del público este instrumento, el cual se elaboró a partir del modelo de proyección de la Dirección de Política Macroeconómica del Ministerio de Hacienda y Crédito Público (MHCP). Gracias al insumo suministrado por el MHCP, la Dirección Técnica del CARF propone una simplificación de algunos procesos de cálculo y agrega algunas funcionalidades para el análisis de la deuda neta del GNC. Adicionalmente, la herramienta se acompaña de una guía para orientar potenciales usuarios sobre las fuentes de información para la proyección y análisis de la deuda del GNC. </t>
  </si>
  <si>
    <t>El usuario debe incluir la estimación de los componentes cíclicos (económico y petrolero), las transacciones de única vez y los rendimientos financieros. Puede usar como referencia los incluídos en el MFMP más reciente.</t>
  </si>
  <si>
    <t xml:space="preserve">UVR </t>
  </si>
  <si>
    <t>Créditos de corto plazo (menos de un año) de la Tesorería con sus fondos administrados (Ej. SGR)</t>
  </si>
  <si>
    <t>Se recomienda hacer seguimiento a la ejecución presupuestal del PGN.</t>
  </si>
  <si>
    <t>Saldos de los depósitos de la Tesorería en moneda doméstica y extranjera y bonos en poder de la Tesorería.</t>
  </si>
  <si>
    <t>Deudas reconocidas por el gobierno y pagadas a través de algún instrumento de deuda.</t>
  </si>
  <si>
    <r>
      <t xml:space="preserve">Se recomienda:
  </t>
    </r>
    <r>
      <rPr>
        <u/>
        <sz val="12"/>
        <color theme="1"/>
        <rFont val="Helvetica"/>
        <family val="2"/>
      </rPr>
      <t>A. Establecer un escenario base:</t>
    </r>
    <r>
      <rPr>
        <sz val="12"/>
        <color theme="1"/>
        <rFont val="Helvetica"/>
        <family val="2"/>
      </rPr>
      <t xml:space="preserve"> el escenario macroeconómico y fiscal más probable que puede ser alimentado a partir de varias fuentes, según necesidad
  </t>
    </r>
    <r>
      <rPr>
        <u/>
        <sz val="12"/>
        <color theme="1"/>
        <rFont val="Helvetica"/>
        <family val="2"/>
      </rPr>
      <t>B. Generar escenarios alternativos de riesgo considerando situaciones como:</t>
    </r>
    <r>
      <rPr>
        <sz val="12"/>
        <color theme="1"/>
        <rFont val="Helvetica"/>
        <family val="2"/>
      </rPr>
      <t xml:space="preserve">
</t>
    </r>
    <r>
      <rPr>
        <b/>
        <sz val="12"/>
        <color rgb="FF4396DB"/>
        <rFont val="Helvetica"/>
        <family val="2"/>
      </rPr>
      <t xml:space="preserve">       1. Corto plazo </t>
    </r>
    <r>
      <rPr>
        <sz val="12"/>
        <color theme="1"/>
        <rFont val="Helvetica"/>
        <family val="2"/>
      </rPr>
      <t xml:space="preserve">
            I. Choques a la tasa de cambio
            II. Choques a los precios de los commodities
            III. Desastres naturales
            IV. Pasivos contingentes  
</t>
    </r>
    <r>
      <rPr>
        <b/>
        <sz val="12"/>
        <color rgb="FF4396DB"/>
        <rFont val="Helvetica"/>
        <family val="2"/>
      </rPr>
      <t xml:space="preserve">       2. Largo plazo. 
</t>
    </r>
    <r>
      <rPr>
        <sz val="12"/>
        <color theme="1"/>
        <rFont val="Helvetica"/>
        <family val="2"/>
      </rPr>
      <t xml:space="preserve">            I. Envejecimiento poblacional y su impacto en gastos de salud y de pensiones
            II. Picos de amortizaciones de deuda
            III. Agotamiento de recursos naturales
            IV. Cambio climático</t>
    </r>
  </si>
  <si>
    <t>Comentarios</t>
  </si>
  <si>
    <t>Escribir a johanna.lopez@carf.gov.co</t>
  </si>
  <si>
    <r>
      <t xml:space="preserve">Esta herramienta permite proyectar la </t>
    </r>
    <r>
      <rPr>
        <b/>
        <sz val="12"/>
        <color rgb="FF4396DB"/>
        <rFont val="Helvetica"/>
        <family val="2"/>
      </rPr>
      <t>deuda neta</t>
    </r>
    <r>
      <rPr>
        <sz val="12"/>
        <color theme="1"/>
        <rFont val="Helvetica"/>
        <family val="2"/>
      </rPr>
      <t xml:space="preserve"> del </t>
    </r>
    <r>
      <rPr>
        <b/>
        <sz val="12"/>
        <color rgb="FF4396DB"/>
        <rFont val="Helvetica"/>
        <family val="2"/>
      </rPr>
      <t>Gobierno Nacional Central</t>
    </r>
    <r>
      <rPr>
        <sz val="12"/>
        <color theme="1"/>
        <rFont val="Helvetica"/>
        <family val="2"/>
      </rPr>
      <t xml:space="preserve"> para el mediano plazo, que corresponde a los próximos 10 años. Esta variable es fundamental para realizar el seguimiento al cumplimiento de la regla fiscal, especialmente a partir de 2026, cuando se acaba la transición y las metas de la regla dependerán del nivel de deuda neta. Según el Ministerio de Hacienda y Crédito Público, la deuda neta es "el valor nominal de todas aquellas deudas del Gobierno Nacional Central que están en manos de agentes privados y/o públicos dentro y fuera del país, descontando todos aquellos activos financieros (cuentas corrientes, CDTs, bonos, fondos públicos, portafolios en el exterior) que posee". 
</t>
    </r>
    <r>
      <rPr>
        <i/>
        <sz val="11"/>
        <color theme="1"/>
        <rFont val="Helvetica"/>
        <family val="2"/>
      </rPr>
      <t>Fuente: https://www.minhacienda.gov.co/webcenter/portal/EntidadesFinancieras/pages_EntidadesFinancieras/PoliticaFiscal/dgg/deudagobiernonacionalcentral</t>
    </r>
  </si>
  <si>
    <t>La deuda neta se obtiene como se indica a continuación:</t>
  </si>
  <si>
    <t>La presente herramienta permite realizar el calculo de la deuda neta a través de los siguientes pasos:</t>
  </si>
  <si>
    <t>Para completar un escenario de proyección, se deben completar los datos insumo y supuestos en las celdas naranja de las hojas azules y grises del modelo. En las hojas color naranja se hacen calculos intermedios y en las hojas color verde se obtienen los resultados. Finalmente, en las hojas color azul se presentan análisis complementarios sobre los resultados.</t>
  </si>
  <si>
    <t>Para el supuesto de balance primario tenga en cuenta que este debe ser consistente con los supuestos macroeconómicos que va a utilizar en el escenario. Por ejemplo, si quiere simular un escenario con mayor crecimiento, mayor tasa de cambio o mayor inflación, tenga en cuenta que su balance primario sea consistente e incorpore los efectos de estas variables sobre los ingresos y gastos del gobierno.
Incluya supuestos macroeconómicos (crecimiento nóminal y real, inflación y TRM) consistentes entre sí y con la expectativa de estas variables.</t>
  </si>
  <si>
    <t>5.</t>
  </si>
  <si>
    <t>Para conocer información relacionada con los activos de la Tesorería General de la Nación, se recomienda revisar los estados financieros trimestrales publicados en el Consolidador Unico de Hacienda Pública (CHIP), en la sección de Consulta Informe al Ciudadano, filtrando por "910200000 - Dirección Nacional del Tesoro Ministerio de Hacienda y Crédito Público": https://www.chip.gov.co/schip_rt/index.jsf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</si>
</sst>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8" formatCode="&quot;$&quot;#,##0.00;[Red]\-&quot;$&quot;#,##0.00"/>
    <numFmt numFmtId="43" formatCode="_-* #,##0.00_-;\-* #,##0.00_-;_-* &quot;-&quot;??_-;_-@_-"/>
    <numFmt numFmtId="164" formatCode="_(* #,##0_);_(* \(#,##0\);_(* &quot;-&quot;_);_(@_)"/>
    <numFmt numFmtId="165" formatCode="_(* #,##0.00_);_(* \(#,##0.00\);_(* &quot;-&quot;??_);_(@_)"/>
    <numFmt numFmtId="166" formatCode="_(* #,##0.0_);_(* \(#,##0.0\);_(* &quot;-&quot;_);_(@_)"/>
    <numFmt numFmtId="167" formatCode="_(* #,##0.0_);_(* \(#,##0.0\);_(* &quot;-&quot;??_);_(@_)"/>
    <numFmt numFmtId="168" formatCode="0.0%"/>
    <numFmt numFmtId="169" formatCode="yyyy"/>
    <numFmt numFmtId="170" formatCode="_(* #,##0.00_);_(* \(#,##0.00\);_(* &quot;-&quot;_);_(@_)"/>
    <numFmt numFmtId="171" formatCode="_(* #,##0_);_(* \(#,##0\);_(* &quot;-&quot;??_);_(@_)"/>
    <numFmt numFmtId="172" formatCode="#,##0.0"/>
    <numFmt numFmtId="173" formatCode="#,##0.0000000"/>
    <numFmt numFmtId="174" formatCode="_-* #,##0.000_-;\-* #,##0.000_-;_-* &quot;-&quot;_-;_-@_-"/>
    <numFmt numFmtId="175" formatCode="&quot;(US&quot;&quot;$&quot;\ #,##0&quot; mill.)&quot;"/>
    <numFmt numFmtId="176" formatCode="_ * #,##0_ ;_ * \-#,##0_ ;_ * &quot;-&quot;??_ ;_ @_ "/>
    <numFmt numFmtId="177" formatCode="dd\-mm\-yy;@"/>
    <numFmt numFmtId="178" formatCode="#,##0.000"/>
    <numFmt numFmtId="179" formatCode="[$-C0A]d\-mmm\-yy;@"/>
    <numFmt numFmtId="180" formatCode="0.0"/>
    <numFmt numFmtId="181" formatCode="#\ &quot;años&quot;"/>
    <numFmt numFmtId="182" formatCode="0.000%"/>
    <numFmt numFmtId="183" formatCode="#,##0.0000"/>
  </numFmts>
  <fonts count="77">
    <font>
      <sz val="12"/>
      <color theme="1"/>
      <name val="Calibri"/>
      <family val="2"/>
      <scheme val="minor"/>
    </font>
    <font>
      <sz val="11"/>
      <color theme="1"/>
      <name val="Calibri"/>
      <family val="2"/>
      <scheme val="minor"/>
    </font>
    <font>
      <sz val="12"/>
      <color theme="1"/>
      <name val="Calibri"/>
      <family val="2"/>
      <scheme val="minor"/>
    </font>
    <font>
      <sz val="11"/>
      <color theme="1"/>
      <name val="Calibri"/>
      <family val="2"/>
      <scheme val="minor"/>
    </font>
    <font>
      <sz val="10"/>
      <name val="Arial"/>
      <family val="2"/>
    </font>
    <font>
      <sz val="10"/>
      <name val="Times New Roman"/>
      <family val="1"/>
    </font>
    <font>
      <u/>
      <sz val="12"/>
      <color theme="10"/>
      <name val="Calibri"/>
      <family val="2"/>
      <scheme val="minor"/>
    </font>
    <font>
      <sz val="8"/>
      <name val="Calibri"/>
      <family val="2"/>
      <scheme val="minor"/>
    </font>
    <font>
      <sz val="1"/>
      <color indexed="8"/>
      <name val="Courier"/>
      <family val="3"/>
    </font>
    <font>
      <sz val="8"/>
      <name val="Arial"/>
      <family val="2"/>
    </font>
    <font>
      <b/>
      <sz val="11"/>
      <color theme="1"/>
      <name val="Helvetica"/>
      <family val="2"/>
    </font>
    <font>
      <sz val="11"/>
      <color theme="1"/>
      <name val="Helvetica"/>
      <family val="2"/>
    </font>
    <font>
      <sz val="12"/>
      <color theme="1"/>
      <name val="Helvetica"/>
      <family val="2"/>
    </font>
    <font>
      <sz val="11"/>
      <color rgb="FFFF0000"/>
      <name val="Helvetica"/>
      <family val="2"/>
    </font>
    <font>
      <b/>
      <sz val="12"/>
      <color theme="1"/>
      <name val="Helvetica"/>
      <family val="2"/>
    </font>
    <font>
      <b/>
      <sz val="18"/>
      <color rgb="FF003E6B"/>
      <name val="Helvetica"/>
      <family val="2"/>
    </font>
    <font>
      <sz val="11"/>
      <color rgb="FF003E6B"/>
      <name val="Helvetica"/>
      <family val="2"/>
    </font>
    <font>
      <b/>
      <sz val="14"/>
      <color rgb="FF4396DB"/>
      <name val="Helvetica"/>
      <family val="2"/>
    </font>
    <font>
      <b/>
      <sz val="12"/>
      <color theme="0"/>
      <name val="Helvetica"/>
      <family val="2"/>
    </font>
    <font>
      <b/>
      <sz val="11"/>
      <color rgb="FFFF0000"/>
      <name val="Helvetica"/>
      <family val="2"/>
    </font>
    <font>
      <u/>
      <sz val="11"/>
      <color theme="10"/>
      <name val="Helvetica"/>
      <family val="2"/>
    </font>
    <font>
      <b/>
      <sz val="11"/>
      <color theme="0"/>
      <name val="Helvetica"/>
      <family val="2"/>
    </font>
    <font>
      <sz val="11"/>
      <name val="Helvetica"/>
      <family val="2"/>
    </font>
    <font>
      <b/>
      <sz val="11"/>
      <color rgb="FF222B35"/>
      <name val="Helvetica"/>
      <family val="2"/>
    </font>
    <font>
      <sz val="11"/>
      <color rgb="FF222B35"/>
      <name val="Helvetica"/>
      <family val="2"/>
    </font>
    <font>
      <b/>
      <sz val="11"/>
      <color rgb="FFFFFFFF"/>
      <name val="Helvetica"/>
      <family val="2"/>
    </font>
    <font>
      <i/>
      <sz val="11"/>
      <color theme="1"/>
      <name val="Helvetica"/>
      <family val="2"/>
    </font>
    <font>
      <b/>
      <sz val="11"/>
      <name val="Helvetica"/>
      <family val="2"/>
    </font>
    <font>
      <sz val="11"/>
      <color rgb="FF000000"/>
      <name val="Helvetica"/>
      <family val="2"/>
    </font>
    <font>
      <sz val="11"/>
      <color rgb="FFFFFFFF"/>
      <name val="Helvetica"/>
      <family val="2"/>
    </font>
    <font>
      <b/>
      <sz val="11"/>
      <color rgb="FF0432FF"/>
      <name val="Helvetica"/>
      <family val="2"/>
    </font>
    <font>
      <sz val="11"/>
      <color rgb="FFFFFF00"/>
      <name val="Helvetica"/>
      <family val="2"/>
    </font>
    <font>
      <sz val="11"/>
      <color theme="4" tint="-0.249977111117893"/>
      <name val="Helvetica"/>
      <family val="2"/>
    </font>
    <font>
      <sz val="11"/>
      <color rgb="FF0432FF"/>
      <name val="Helvetica"/>
      <family val="2"/>
    </font>
    <font>
      <i/>
      <sz val="10"/>
      <name val="Helvetica"/>
      <family val="2"/>
    </font>
    <font>
      <b/>
      <sz val="12"/>
      <color rgb="FF4074C8"/>
      <name val="Helvetica"/>
      <family val="2"/>
    </font>
    <font>
      <b/>
      <sz val="11"/>
      <color rgb="FF003E6B"/>
      <name val="Helvetica"/>
      <family val="2"/>
    </font>
    <font>
      <i/>
      <sz val="11"/>
      <color rgb="FF003E6B"/>
      <name val="Helvetica"/>
      <family val="2"/>
    </font>
    <font>
      <i/>
      <sz val="11"/>
      <color rgb="FF0432FF"/>
      <name val="Helvetica"/>
      <family val="2"/>
    </font>
    <font>
      <i/>
      <sz val="11"/>
      <color rgb="FFFF0000"/>
      <name val="Helvetica"/>
      <family val="2"/>
    </font>
    <font>
      <b/>
      <sz val="12"/>
      <color rgb="FF222B35"/>
      <name val="Helvetica"/>
      <family val="2"/>
    </font>
    <font>
      <b/>
      <sz val="16"/>
      <color rgb="FF4396DB"/>
      <name val="Helvetica"/>
      <family val="2"/>
    </font>
    <font>
      <sz val="14"/>
      <color rgb="FF003E6B"/>
      <name val="Helvetica"/>
      <family val="2"/>
    </font>
    <font>
      <sz val="11"/>
      <color theme="9" tint="-0.249977111117893"/>
      <name val="Helvetica"/>
      <family val="2"/>
    </font>
    <font>
      <sz val="11"/>
      <color theme="5" tint="-0.249977111117893"/>
      <name val="Helvetica"/>
      <family val="2"/>
    </font>
    <font>
      <b/>
      <sz val="11"/>
      <color theme="5" tint="-0.249977111117893"/>
      <name val="Helvetica"/>
      <family val="2"/>
    </font>
    <font>
      <b/>
      <sz val="11"/>
      <color theme="9" tint="-0.249977111117893"/>
      <name val="Helvetica"/>
      <family val="2"/>
    </font>
    <font>
      <b/>
      <sz val="11"/>
      <color theme="1"/>
      <name val="Helvetica"/>
      <family val="2"/>
    </font>
    <font>
      <b/>
      <sz val="11"/>
      <color rgb="FF0432FF"/>
      <name val="Helvetica"/>
      <family val="2"/>
    </font>
    <font>
      <b/>
      <sz val="14"/>
      <color rgb="FF4074C8"/>
      <name val="Helvetica"/>
      <family val="2"/>
    </font>
    <font>
      <i/>
      <sz val="11"/>
      <color theme="1"/>
      <name val="Helvetica"/>
      <family val="2"/>
    </font>
    <font>
      <sz val="11"/>
      <color rgb="FF4074C8"/>
      <name val="Helvetica"/>
      <family val="2"/>
    </font>
    <font>
      <b/>
      <sz val="11"/>
      <color rgb="FF4074C8"/>
      <name val="Helvetica"/>
      <family val="2"/>
    </font>
    <font>
      <b/>
      <sz val="9.9"/>
      <color rgb="FF4074C8"/>
      <name val="Helvetica"/>
      <family val="2"/>
    </font>
    <font>
      <sz val="11"/>
      <color theme="1"/>
      <name val="Helvetica"/>
      <family val="2"/>
    </font>
    <font>
      <u/>
      <sz val="12"/>
      <color theme="10"/>
      <name val="Helvetica"/>
      <family val="2"/>
    </font>
    <font>
      <b/>
      <sz val="11"/>
      <color rgb="FF4897D8"/>
      <name val="Helvetica"/>
      <family val="2"/>
    </font>
    <font>
      <b/>
      <sz val="12"/>
      <color rgb="FF4396DB"/>
      <name val="Helvetica"/>
      <family val="2"/>
    </font>
    <font>
      <sz val="12"/>
      <color rgb="FF4396DB"/>
      <name val="Helvetica"/>
      <family val="2"/>
    </font>
    <font>
      <sz val="12"/>
      <name val="Helvetica"/>
      <family val="2"/>
    </font>
    <font>
      <u/>
      <sz val="11"/>
      <color rgb="FF4074C8"/>
      <name val="Helvetica"/>
      <family val="2"/>
    </font>
    <font>
      <b/>
      <sz val="16"/>
      <color rgb="FF4074C8"/>
      <name val="Helvetica"/>
      <family val="2"/>
    </font>
    <font>
      <sz val="14"/>
      <color theme="1"/>
      <name val="Helvetica"/>
      <family val="2"/>
    </font>
    <font>
      <sz val="14"/>
      <name val="Helvetica"/>
      <family val="2"/>
    </font>
    <font>
      <b/>
      <sz val="15"/>
      <color rgb="FF4396DB"/>
      <name val="Helvetica"/>
      <family val="2"/>
    </font>
    <font>
      <sz val="16"/>
      <color theme="1"/>
      <name val="Helvetica"/>
      <family val="2"/>
    </font>
    <font>
      <b/>
      <i/>
      <sz val="12"/>
      <color rgb="FF4396DB"/>
      <name val="Helvetica"/>
      <family val="2"/>
    </font>
    <font>
      <sz val="11"/>
      <color rgb="FF4396DB"/>
      <name val="Helvetica"/>
      <family val="2"/>
    </font>
    <font>
      <b/>
      <sz val="11"/>
      <color rgb="FF4396DB"/>
      <name val="Helvetica"/>
      <family val="2"/>
    </font>
    <font>
      <i/>
      <sz val="12"/>
      <name val="Helvetica"/>
      <family val="2"/>
    </font>
    <font>
      <sz val="10"/>
      <name val="Helvetica"/>
      <family val="2"/>
    </font>
    <font>
      <sz val="12"/>
      <color rgb="FF4074C8"/>
      <name val="Helvetica"/>
      <family val="2"/>
    </font>
    <font>
      <u/>
      <sz val="10"/>
      <color theme="10"/>
      <name val="Helvetica"/>
      <family val="2"/>
    </font>
    <font>
      <i/>
      <sz val="10"/>
      <color rgb="FF003E6B"/>
      <name val="Helvetica"/>
      <family val="2"/>
    </font>
    <font>
      <i/>
      <sz val="10"/>
      <color theme="1"/>
      <name val="Helvetica"/>
      <family val="2"/>
    </font>
    <font>
      <u/>
      <sz val="9"/>
      <color theme="10"/>
      <name val="Helvetica"/>
      <family val="2"/>
    </font>
    <font>
      <u/>
      <sz val="12"/>
      <color theme="1"/>
      <name val="Helvetica"/>
      <family val="2"/>
    </font>
  </fonts>
  <fills count="39">
    <fill>
      <patternFill patternType="none"/>
    </fill>
    <fill>
      <patternFill patternType="gray125"/>
    </fill>
    <fill>
      <patternFill patternType="solid">
        <fgColor rgb="FF002060"/>
        <bgColor indexed="64"/>
      </patternFill>
    </fill>
    <fill>
      <patternFill patternType="solid">
        <fgColor indexed="65"/>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D9D9D9"/>
        <bgColor rgb="FF000000"/>
      </patternFill>
    </fill>
    <fill>
      <patternFill patternType="solid">
        <fgColor rgb="FFFFFFFF"/>
        <bgColor rgb="FFFFFFFF"/>
      </patternFill>
    </fill>
    <fill>
      <patternFill patternType="solid">
        <fgColor rgb="FFF3F6FB"/>
        <bgColor rgb="FFFFFFFF"/>
      </patternFill>
    </fill>
    <fill>
      <patternFill patternType="solid">
        <fgColor rgb="FFFFFFFF"/>
        <bgColor rgb="FF000000"/>
      </patternFill>
    </fill>
    <fill>
      <patternFill patternType="solid">
        <fgColor rgb="FFBFBFBF"/>
        <bgColor rgb="FF000000"/>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theme="8" tint="-0.499984740745262"/>
        <bgColor indexed="64"/>
      </patternFill>
    </fill>
    <fill>
      <patternFill patternType="solid">
        <fgColor rgb="FFFFFF00"/>
        <bgColor indexed="64"/>
      </patternFill>
    </fill>
    <fill>
      <patternFill patternType="solid">
        <fgColor theme="3"/>
        <bgColor indexed="64"/>
      </patternFill>
    </fill>
    <fill>
      <patternFill patternType="solid">
        <fgColor theme="4" tint="-0.499984740745262"/>
        <bgColor indexed="64"/>
      </patternFill>
    </fill>
    <fill>
      <patternFill patternType="solid">
        <fgColor theme="3" tint="0.39997558519241921"/>
        <bgColor indexed="64"/>
      </patternFill>
    </fill>
    <fill>
      <patternFill patternType="solid">
        <fgColor theme="0"/>
        <bgColor rgb="FFFFFFFF"/>
      </patternFill>
    </fill>
    <fill>
      <patternFill patternType="solid">
        <fgColor theme="0" tint="-4.9989318521683403E-2"/>
        <bgColor indexed="64"/>
      </patternFill>
    </fill>
    <fill>
      <patternFill patternType="solid">
        <fgColor theme="4" tint="0.79998168889431442"/>
        <bgColor rgb="FFFFFFFF"/>
      </patternFill>
    </fill>
    <fill>
      <patternFill patternType="solid">
        <fgColor theme="5"/>
        <bgColor indexed="64"/>
      </patternFill>
    </fill>
    <fill>
      <patternFill patternType="solid">
        <fgColor theme="9"/>
        <bgColor indexed="64"/>
      </patternFill>
    </fill>
    <fill>
      <patternFill patternType="solid">
        <fgColor theme="0" tint="-0.14999847407452621"/>
        <bgColor rgb="FFFFFFFF"/>
      </patternFill>
    </fill>
    <fill>
      <patternFill patternType="solid">
        <fgColor theme="1"/>
        <bgColor indexed="64"/>
      </patternFill>
    </fill>
    <fill>
      <patternFill patternType="solid">
        <fgColor theme="5" tint="0.79998168889431442"/>
        <bgColor indexed="64"/>
      </patternFill>
    </fill>
    <fill>
      <patternFill patternType="solid">
        <fgColor rgb="FF003E6B"/>
        <bgColor indexed="64"/>
      </patternFill>
    </fill>
    <fill>
      <patternFill patternType="solid">
        <fgColor rgb="FF003E6B"/>
        <bgColor rgb="FFFFFFFF"/>
      </patternFill>
    </fill>
    <fill>
      <patternFill patternType="solid">
        <fgColor rgb="FF4396DB"/>
        <bgColor rgb="FFFFFFFF"/>
      </patternFill>
    </fill>
    <fill>
      <patternFill patternType="solid">
        <fgColor rgb="FF003E6B"/>
        <bgColor rgb="FF000000"/>
      </patternFill>
    </fill>
    <fill>
      <patternFill patternType="solid">
        <fgColor theme="5"/>
        <bgColor rgb="FF000000"/>
      </patternFill>
    </fill>
    <fill>
      <patternFill patternType="solid">
        <fgColor theme="8" tint="0.79998168889431442"/>
        <bgColor indexed="64"/>
      </patternFill>
    </fill>
    <fill>
      <patternFill patternType="solid">
        <fgColor rgb="FF003F6A"/>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59999389629810485"/>
        <bgColor rgb="FF000000"/>
      </patternFill>
    </fill>
    <fill>
      <patternFill patternType="solid">
        <fgColor theme="5"/>
        <bgColor rgb="FFFFFFFF"/>
      </patternFill>
    </fill>
  </fills>
  <borders count="59">
    <border>
      <left/>
      <right/>
      <top/>
      <bottom/>
      <diagonal/>
    </border>
    <border>
      <left/>
      <right/>
      <top style="thin">
        <color auto="1"/>
      </top>
      <bottom/>
      <diagonal/>
    </border>
    <border>
      <left/>
      <right/>
      <top/>
      <bottom style="thin">
        <color auto="1"/>
      </bottom>
      <diagonal/>
    </border>
    <border>
      <left/>
      <right style="thin">
        <color indexed="64"/>
      </right>
      <top/>
      <bottom/>
      <diagonal/>
    </border>
    <border>
      <left/>
      <right style="thin">
        <color indexed="64"/>
      </right>
      <top/>
      <bottom style="thin">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indexed="64"/>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rgb="FFFF0000"/>
      </right>
      <top/>
      <bottom style="thin">
        <color auto="1"/>
      </bottom>
      <diagonal/>
    </border>
    <border>
      <left/>
      <right style="thin">
        <color rgb="FFFF0000"/>
      </right>
      <top/>
      <bottom/>
      <diagonal/>
    </border>
    <border>
      <left/>
      <right style="thin">
        <color rgb="FFFF0000"/>
      </right>
      <top style="thin">
        <color auto="1"/>
      </top>
      <bottom/>
      <diagonal/>
    </border>
    <border>
      <left style="thin">
        <color rgb="FF67829F"/>
      </left>
      <right/>
      <top style="thin">
        <color rgb="FF67829F"/>
      </top>
      <bottom/>
      <diagonal/>
    </border>
    <border>
      <left/>
      <right/>
      <top style="thin">
        <color rgb="FF67829F"/>
      </top>
      <bottom/>
      <diagonal/>
    </border>
    <border>
      <left/>
      <right style="thin">
        <color rgb="FF67829F"/>
      </right>
      <top style="thin">
        <color rgb="FF67829F"/>
      </top>
      <bottom/>
      <diagonal/>
    </border>
    <border>
      <left style="thin">
        <color rgb="FF67829F"/>
      </left>
      <right/>
      <top/>
      <bottom/>
      <diagonal/>
    </border>
    <border>
      <left/>
      <right style="thin">
        <color rgb="FF67829F"/>
      </right>
      <top/>
      <bottom/>
      <diagonal/>
    </border>
    <border>
      <left style="thin">
        <color rgb="FF67829F"/>
      </left>
      <right/>
      <top/>
      <bottom style="thin">
        <color rgb="FF67829F"/>
      </bottom>
      <diagonal/>
    </border>
    <border>
      <left/>
      <right/>
      <top/>
      <bottom style="thin">
        <color rgb="FF67829F"/>
      </bottom>
      <diagonal/>
    </border>
    <border>
      <left/>
      <right style="thin">
        <color rgb="FF67829F"/>
      </right>
      <top/>
      <bottom style="thin">
        <color rgb="FF67829F"/>
      </bottom>
      <diagonal/>
    </border>
    <border>
      <left style="thin">
        <color rgb="FF67829F"/>
      </left>
      <right style="thin">
        <color rgb="FF67829F"/>
      </right>
      <top style="thin">
        <color rgb="FF67829F"/>
      </top>
      <bottom style="thin">
        <color rgb="FF67829F"/>
      </bottom>
      <diagonal/>
    </border>
    <border>
      <left/>
      <right/>
      <top style="thin">
        <color rgb="FF67829F"/>
      </top>
      <bottom style="thin">
        <color rgb="FF67829F"/>
      </bottom>
      <diagonal/>
    </border>
    <border>
      <left/>
      <right style="thin">
        <color rgb="FF67829F"/>
      </right>
      <top style="thin">
        <color rgb="FF67829F"/>
      </top>
      <bottom style="thin">
        <color rgb="FF67829F"/>
      </bottom>
      <diagonal/>
    </border>
    <border>
      <left style="thin">
        <color rgb="FF67829F"/>
      </left>
      <right style="thin">
        <color auto="1"/>
      </right>
      <top/>
      <bottom/>
      <diagonal/>
    </border>
    <border>
      <left style="thin">
        <color rgb="FF67829F"/>
      </left>
      <right style="thin">
        <color rgb="FF67829F"/>
      </right>
      <top style="thin">
        <color rgb="FF67829F"/>
      </top>
      <bottom/>
      <diagonal/>
    </border>
    <border>
      <left style="thin">
        <color rgb="FF67829F"/>
      </left>
      <right style="thin">
        <color rgb="FF67829F"/>
      </right>
      <top/>
      <bottom style="thin">
        <color rgb="FF67829F"/>
      </bottom>
      <diagonal/>
    </border>
    <border>
      <left style="thin">
        <color rgb="FF67829F"/>
      </left>
      <right style="thin">
        <color rgb="FF67829F"/>
      </right>
      <top/>
      <bottom/>
      <diagonal/>
    </border>
    <border>
      <left style="thin">
        <color rgb="FF67829F"/>
      </left>
      <right/>
      <top style="thin">
        <color rgb="FF67829F"/>
      </top>
      <bottom style="thin">
        <color rgb="FF67829F"/>
      </bottom>
      <diagonal/>
    </border>
    <border>
      <left style="thin">
        <color rgb="FF67829F"/>
      </left>
      <right/>
      <top style="thin">
        <color auto="1"/>
      </top>
      <bottom/>
      <diagonal/>
    </border>
    <border>
      <left/>
      <right style="thin">
        <color rgb="FF67829F"/>
      </right>
      <top style="thin">
        <color auto="1"/>
      </top>
      <bottom/>
      <diagonal/>
    </border>
    <border>
      <left/>
      <right style="thin">
        <color rgb="FFFF0000"/>
      </right>
      <top/>
      <bottom style="thin">
        <color rgb="FF67829F"/>
      </bottom>
      <diagonal/>
    </border>
    <border>
      <left/>
      <right style="thin">
        <color rgb="FFFF0000"/>
      </right>
      <top style="thin">
        <color rgb="FF67829F"/>
      </top>
      <bottom/>
      <diagonal/>
    </border>
    <border>
      <left/>
      <right style="thin">
        <color rgb="FFFF0000"/>
      </right>
      <top style="thin">
        <color rgb="FF67829F"/>
      </top>
      <bottom style="thin">
        <color rgb="FF67829F"/>
      </bottom>
      <diagonal/>
    </border>
    <border>
      <left style="thin">
        <color rgb="FFFF0000"/>
      </left>
      <right/>
      <top style="thin">
        <color rgb="FF67829F"/>
      </top>
      <bottom style="thin">
        <color rgb="FF67829F"/>
      </bottom>
      <diagonal/>
    </border>
    <border>
      <left style="thin">
        <color rgb="FFFF0000"/>
      </left>
      <right/>
      <top/>
      <bottom/>
      <diagonal/>
    </border>
    <border>
      <left style="thin">
        <color rgb="FFFF0000"/>
      </left>
      <right/>
      <top/>
      <bottom style="thin">
        <color rgb="FF67829F"/>
      </bottom>
      <diagonal/>
    </border>
    <border>
      <left style="thin">
        <color rgb="FF003F6A"/>
      </left>
      <right style="thin">
        <color rgb="FF003F6A"/>
      </right>
      <top style="thin">
        <color rgb="FF003F6A"/>
      </top>
      <bottom/>
      <diagonal/>
    </border>
    <border>
      <left style="thin">
        <color rgb="FF003F6A"/>
      </left>
      <right style="thin">
        <color rgb="FF003F6A"/>
      </right>
      <top/>
      <bottom/>
      <diagonal/>
    </border>
    <border>
      <left style="thin">
        <color rgb="FF003F6A"/>
      </left>
      <right style="thin">
        <color rgb="FF003F6A"/>
      </right>
      <top/>
      <bottom style="thin">
        <color rgb="FF003F6A"/>
      </bottom>
      <diagonal/>
    </border>
    <border>
      <left style="thin">
        <color rgb="FF003F6A"/>
      </left>
      <right style="thin">
        <color rgb="FF003F6A"/>
      </right>
      <top style="thin">
        <color rgb="FF003F6A"/>
      </top>
      <bottom style="thin">
        <color rgb="FF003F6A"/>
      </bottom>
      <diagonal/>
    </border>
    <border>
      <left style="thin">
        <color rgb="FF003F6A"/>
      </left>
      <right/>
      <top style="thin">
        <color rgb="FF003F6A"/>
      </top>
      <bottom style="thin">
        <color rgb="FF003F6A"/>
      </bottom>
      <diagonal/>
    </border>
    <border>
      <left/>
      <right/>
      <top style="thin">
        <color rgb="FF003F6A"/>
      </top>
      <bottom style="thin">
        <color rgb="FF003F6A"/>
      </bottom>
      <diagonal/>
    </border>
    <border>
      <left/>
      <right style="thin">
        <color rgb="FF003F6A"/>
      </right>
      <top style="thin">
        <color rgb="FF003F6A"/>
      </top>
      <bottom style="thin">
        <color rgb="FF003F6A"/>
      </bottom>
      <diagonal/>
    </border>
    <border>
      <left style="thin">
        <color rgb="FF003F6A"/>
      </left>
      <right/>
      <top/>
      <bottom/>
      <diagonal/>
    </border>
    <border>
      <left/>
      <right style="thin">
        <color rgb="FF003F6A"/>
      </right>
      <top/>
      <bottom/>
      <diagonal/>
    </border>
    <border>
      <left style="thin">
        <color rgb="FF003F6A"/>
      </left>
      <right/>
      <top/>
      <bottom style="thin">
        <color rgb="FF003F6A"/>
      </bottom>
      <diagonal/>
    </border>
    <border>
      <left/>
      <right/>
      <top/>
      <bottom style="thin">
        <color rgb="FF003F6A"/>
      </bottom>
      <diagonal/>
    </border>
    <border>
      <left/>
      <right style="thin">
        <color rgb="FF003F6A"/>
      </right>
      <top/>
      <bottom style="thin">
        <color rgb="FF003F6A"/>
      </bottom>
      <diagonal/>
    </border>
    <border>
      <left style="thin">
        <color rgb="FF003F6A"/>
      </left>
      <right/>
      <top style="thin">
        <color rgb="FF003F6A"/>
      </top>
      <bottom/>
      <diagonal/>
    </border>
    <border>
      <left/>
      <right/>
      <top style="thin">
        <color rgb="FF003F6A"/>
      </top>
      <bottom/>
      <diagonal/>
    </border>
    <border>
      <left/>
      <right style="thin">
        <color rgb="FF003F6A"/>
      </right>
      <top style="thin">
        <color rgb="FF003F6A"/>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medium">
        <color auto="1"/>
      </bottom>
      <diagonal/>
    </border>
    <border>
      <left style="thin">
        <color theme="3"/>
      </left>
      <right style="thin">
        <color theme="3"/>
      </right>
      <top style="thin">
        <color theme="3"/>
      </top>
      <bottom style="thin">
        <color theme="3"/>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s>
  <cellStyleXfs count="14">
    <xf numFmtId="0" fontId="0" fillId="0" borderId="0"/>
    <xf numFmtId="164" fontId="2" fillId="0" borderId="0" applyFont="0" applyFill="0" applyBorder="0" applyAlignment="0" applyProtection="0"/>
    <xf numFmtId="9" fontId="2" fillId="0" borderId="0" applyFont="0" applyFill="0" applyBorder="0" applyAlignment="0" applyProtection="0"/>
    <xf numFmtId="0" fontId="4" fillId="0" borderId="0"/>
    <xf numFmtId="165" fontId="4" fillId="0" borderId="0" applyFont="0" applyFill="0" applyBorder="0" applyAlignment="0" applyProtection="0"/>
    <xf numFmtId="0" fontId="5" fillId="0" borderId="0"/>
    <xf numFmtId="164" fontId="3" fillId="0" borderId="0" applyFont="0" applyFill="0" applyBorder="0" applyAlignment="0" applyProtection="0"/>
    <xf numFmtId="0" fontId="3" fillId="0" borderId="0"/>
    <xf numFmtId="0" fontId="6" fillId="0" borderId="0" applyNumberFormat="0" applyFill="0" applyBorder="0" applyAlignment="0" applyProtection="0"/>
    <xf numFmtId="0" fontId="8" fillId="0" borderId="0">
      <protection locked="0"/>
    </xf>
    <xf numFmtId="0" fontId="9" fillId="0" borderId="0"/>
    <xf numFmtId="0" fontId="1" fillId="0" borderId="0"/>
    <xf numFmtId="9" fontId="1" fillId="0" borderId="0" applyFont="0" applyFill="0" applyBorder="0" applyAlignment="0" applyProtection="0"/>
    <xf numFmtId="43" fontId="1" fillId="0" borderId="0" applyFont="0" applyFill="0" applyBorder="0" applyAlignment="0" applyProtection="0"/>
  </cellStyleXfs>
  <cellXfs count="763">
    <xf numFmtId="0" fontId="0" fillId="0" borderId="0" xfId="0"/>
    <xf numFmtId="0" fontId="12" fillId="3" borderId="0" xfId="0" applyFont="1" applyFill="1"/>
    <xf numFmtId="0" fontId="14" fillId="3" borderId="0" xfId="0" applyFont="1" applyFill="1"/>
    <xf numFmtId="0" fontId="15" fillId="3" borderId="0" xfId="0" applyFont="1" applyFill="1" applyAlignment="1">
      <alignment horizontal="left" vertical="top" wrapText="1"/>
    </xf>
    <xf numFmtId="0" fontId="19" fillId="3" borderId="0" xfId="0" applyFont="1" applyFill="1"/>
    <xf numFmtId="0" fontId="11" fillId="3" borderId="0" xfId="0" applyFont="1" applyFill="1"/>
    <xf numFmtId="0" fontId="23" fillId="8" borderId="0" xfId="5" applyFont="1" applyFill="1" applyAlignment="1">
      <alignment horizontal="centerContinuous" vertical="center" wrapText="1"/>
    </xf>
    <xf numFmtId="174" fontId="24" fillId="8" borderId="0" xfId="1" applyNumberFormat="1" applyFont="1" applyFill="1" applyBorder="1" applyAlignment="1">
      <alignment horizontal="right" vertical="center" wrapText="1"/>
    </xf>
    <xf numFmtId="0" fontId="24" fillId="8" borderId="0" xfId="5" applyFont="1" applyFill="1" applyAlignment="1">
      <alignment horizontal="right" vertical="center" wrapText="1"/>
    </xf>
    <xf numFmtId="3" fontId="26" fillId="3" borderId="0" xfId="0" applyNumberFormat="1" applyFont="1" applyFill="1"/>
    <xf numFmtId="3" fontId="11" fillId="3" borderId="0" xfId="0" applyNumberFormat="1" applyFont="1" applyFill="1"/>
    <xf numFmtId="0" fontId="10" fillId="3" borderId="0" xfId="0" applyFont="1" applyFill="1"/>
    <xf numFmtId="0" fontId="10" fillId="5" borderId="0" xfId="0" applyFont="1" applyFill="1"/>
    <xf numFmtId="3" fontId="27" fillId="25" borderId="0" xfId="1" applyNumberFormat="1" applyFont="1" applyFill="1" applyBorder="1" applyAlignment="1">
      <alignment horizontal="right" vertical="center"/>
    </xf>
    <xf numFmtId="3" fontId="22" fillId="20" borderId="0" xfId="1" applyNumberFormat="1" applyFont="1" applyFill="1" applyBorder="1" applyAlignment="1">
      <alignment horizontal="right" vertical="center"/>
    </xf>
    <xf numFmtId="0" fontId="21" fillId="26" borderId="0" xfId="0" applyFont="1" applyFill="1"/>
    <xf numFmtId="3" fontId="21" fillId="26" borderId="0" xfId="0" applyNumberFormat="1" applyFont="1" applyFill="1"/>
    <xf numFmtId="3" fontId="11" fillId="0" borderId="0" xfId="0" applyNumberFormat="1" applyFont="1"/>
    <xf numFmtId="9" fontId="11" fillId="3" borderId="0" xfId="2" applyFont="1" applyFill="1"/>
    <xf numFmtId="0" fontId="20" fillId="3" borderId="0" xfId="8" applyFont="1" applyFill="1"/>
    <xf numFmtId="0" fontId="27" fillId="7" borderId="11" xfId="0" applyFont="1" applyFill="1" applyBorder="1" applyAlignment="1" applyProtection="1">
      <alignment horizontal="center" vertical="center"/>
      <protection hidden="1"/>
    </xf>
    <xf numFmtId="0" fontId="27" fillId="7" borderId="9" xfId="0" applyFont="1" applyFill="1" applyBorder="1" applyAlignment="1" applyProtection="1">
      <alignment horizontal="center" vertical="center"/>
      <protection hidden="1"/>
    </xf>
    <xf numFmtId="0" fontId="27" fillId="7" borderId="9" xfId="0" applyFont="1" applyFill="1" applyBorder="1" applyAlignment="1">
      <alignment horizontal="center" vertical="center"/>
    </xf>
    <xf numFmtId="0" fontId="27" fillId="7" borderId="10" xfId="0" applyFont="1" applyFill="1" applyBorder="1" applyAlignment="1">
      <alignment horizontal="center" vertical="center"/>
    </xf>
    <xf numFmtId="0" fontId="22" fillId="7" borderId="3" xfId="0" applyFont="1" applyFill="1" applyBorder="1" applyProtection="1">
      <protection hidden="1"/>
    </xf>
    <xf numFmtId="0" fontId="22" fillId="7" borderId="3" xfId="0" applyFont="1" applyFill="1" applyBorder="1" applyAlignment="1" applyProtection="1">
      <alignment horizontal="center"/>
      <protection hidden="1"/>
    </xf>
    <xf numFmtId="0" fontId="22" fillId="3" borderId="7" xfId="0" applyFont="1" applyFill="1" applyBorder="1" applyAlignment="1">
      <alignment vertical="center"/>
    </xf>
    <xf numFmtId="176" fontId="11" fillId="3" borderId="0" xfId="0" applyNumberFormat="1" applyFont="1" applyFill="1"/>
    <xf numFmtId="0" fontId="27" fillId="10" borderId="0" xfId="0" applyFont="1" applyFill="1" applyAlignment="1" applyProtection="1">
      <alignment horizontal="left" vertical="center"/>
      <protection hidden="1"/>
    </xf>
    <xf numFmtId="177" fontId="27" fillId="10" borderId="0" xfId="0" applyNumberFormat="1" applyFont="1" applyFill="1" applyAlignment="1" applyProtection="1">
      <alignment horizontal="left" vertical="center"/>
      <protection hidden="1"/>
    </xf>
    <xf numFmtId="0" fontId="22" fillId="10" borderId="0" xfId="0" applyFont="1" applyFill="1" applyAlignment="1" applyProtection="1">
      <alignment vertical="center"/>
      <protection hidden="1"/>
    </xf>
    <xf numFmtId="0" fontId="27" fillId="10" borderId="0" xfId="0" applyFont="1" applyFill="1" applyAlignment="1" applyProtection="1">
      <alignment horizontal="right" vertical="center"/>
      <protection hidden="1"/>
    </xf>
    <xf numFmtId="4" fontId="22" fillId="0" borderId="0" xfId="0" applyNumberFormat="1" applyFont="1" applyAlignment="1" applyProtection="1">
      <alignment vertical="center"/>
      <protection hidden="1"/>
    </xf>
    <xf numFmtId="172" fontId="11" fillId="3" borderId="0" xfId="0" applyNumberFormat="1" applyFont="1" applyFill="1"/>
    <xf numFmtId="172" fontId="10" fillId="3" borderId="0" xfId="0" applyNumberFormat="1" applyFont="1" applyFill="1"/>
    <xf numFmtId="0" fontId="10" fillId="3" borderId="0" xfId="0" applyFont="1" applyFill="1" applyAlignment="1">
      <alignment vertical="center"/>
    </xf>
    <xf numFmtId="180" fontId="11" fillId="3" borderId="0" xfId="0" applyNumberFormat="1" applyFont="1" applyFill="1" applyAlignment="1">
      <alignment vertical="center"/>
    </xf>
    <xf numFmtId="0" fontId="11" fillId="3" borderId="0" xfId="0" applyFont="1" applyFill="1" applyAlignment="1">
      <alignment vertical="center"/>
    </xf>
    <xf numFmtId="0" fontId="12" fillId="3" borderId="0" xfId="0" applyFont="1" applyFill="1" applyAlignment="1">
      <alignment vertical="center" wrapText="1"/>
    </xf>
    <xf numFmtId="0" fontId="12" fillId="14" borderId="0" xfId="0" applyFont="1" applyFill="1"/>
    <xf numFmtId="0" fontId="12" fillId="14" borderId="0" xfId="0" applyFont="1" applyFill="1" applyAlignment="1">
      <alignment vertical="center" wrapText="1"/>
    </xf>
    <xf numFmtId="0" fontId="21" fillId="2" borderId="0" xfId="0" applyFont="1" applyFill="1"/>
    <xf numFmtId="169" fontId="21" fillId="2" borderId="0" xfId="0" applyNumberFormat="1" applyFont="1" applyFill="1"/>
    <xf numFmtId="3" fontId="30" fillId="6" borderId="1" xfId="0" applyNumberFormat="1" applyFont="1" applyFill="1" applyBorder="1"/>
    <xf numFmtId="3" fontId="11" fillId="14" borderId="0" xfId="0" applyNumberFormat="1" applyFont="1" applyFill="1"/>
    <xf numFmtId="0" fontId="11" fillId="3" borderId="0" xfId="0" applyFont="1" applyFill="1" applyAlignment="1">
      <alignment horizontal="left" indent="2"/>
    </xf>
    <xf numFmtId="0" fontId="26" fillId="14" borderId="0" xfId="0" applyFont="1" applyFill="1" applyAlignment="1">
      <alignment horizontal="left" indent="1"/>
    </xf>
    <xf numFmtId="3" fontId="26" fillId="14" borderId="0" xfId="0" applyNumberFormat="1" applyFont="1" applyFill="1"/>
    <xf numFmtId="0" fontId="11" fillId="3" borderId="0" xfId="0" applyFont="1" applyFill="1" applyAlignment="1">
      <alignment horizontal="left"/>
    </xf>
    <xf numFmtId="181" fontId="21" fillId="2" borderId="0" xfId="0" applyNumberFormat="1" applyFont="1" applyFill="1" applyAlignment="1">
      <alignment horizontal="left" vertical="center" wrapText="1"/>
    </xf>
    <xf numFmtId="1" fontId="21" fillId="2" borderId="0" xfId="0" applyNumberFormat="1" applyFont="1" applyFill="1" applyAlignment="1">
      <alignment horizontal="right" vertical="center"/>
    </xf>
    <xf numFmtId="0" fontId="11" fillId="3" borderId="0" xfId="0" applyFont="1" applyFill="1" applyAlignment="1">
      <alignment horizontal="left" vertical="center" wrapText="1"/>
    </xf>
    <xf numFmtId="3" fontId="11" fillId="3" borderId="0" xfId="0" applyNumberFormat="1" applyFont="1" applyFill="1" applyAlignment="1">
      <alignment vertical="center"/>
    </xf>
    <xf numFmtId="3" fontId="22" fillId="3" borderId="0" xfId="0" applyNumberFormat="1" applyFont="1" applyFill="1" applyAlignment="1">
      <alignment vertical="center"/>
    </xf>
    <xf numFmtId="168" fontId="11" fillId="3" borderId="0" xfId="2" applyNumberFormat="1" applyFont="1" applyFill="1" applyAlignment="1">
      <alignment vertical="center"/>
    </xf>
    <xf numFmtId="1" fontId="11" fillId="14" borderId="0" xfId="2" applyNumberFormat="1" applyFont="1" applyFill="1" applyAlignment="1">
      <alignment vertical="center"/>
    </xf>
    <xf numFmtId="1" fontId="11" fillId="3" borderId="0" xfId="2" applyNumberFormat="1" applyFont="1" applyFill="1" applyAlignment="1">
      <alignment vertical="center"/>
    </xf>
    <xf numFmtId="3" fontId="11" fillId="14" borderId="0" xfId="0" applyNumberFormat="1" applyFont="1" applyFill="1" applyAlignment="1">
      <alignment vertical="center"/>
    </xf>
    <xf numFmtId="0" fontId="10" fillId="3" borderId="0" xfId="0" applyFont="1" applyFill="1" applyAlignment="1">
      <alignment horizontal="left" vertical="center" wrapText="1"/>
    </xf>
    <xf numFmtId="3" fontId="10" fillId="14" borderId="0" xfId="0" applyNumberFormat="1" applyFont="1" applyFill="1" applyAlignment="1">
      <alignment vertical="center"/>
    </xf>
    <xf numFmtId="3" fontId="10" fillId="3" borderId="0" xfId="0" applyNumberFormat="1" applyFont="1" applyFill="1" applyAlignment="1">
      <alignment vertical="center"/>
    </xf>
    <xf numFmtId="168" fontId="11" fillId="14" borderId="0" xfId="2" applyNumberFormat="1" applyFont="1" applyFill="1" applyAlignment="1">
      <alignment vertical="center"/>
    </xf>
    <xf numFmtId="0" fontId="13" fillId="3" borderId="0" xfId="0" applyFont="1" applyFill="1" applyAlignment="1">
      <alignment horizontal="left" vertical="center" wrapText="1"/>
    </xf>
    <xf numFmtId="0" fontId="11" fillId="14" borderId="0" xfId="0" applyFont="1" applyFill="1" applyAlignment="1">
      <alignment vertical="center"/>
    </xf>
    <xf numFmtId="0" fontId="28" fillId="3" borderId="0" xfId="0" applyFont="1" applyFill="1" applyAlignment="1">
      <alignment horizontal="left"/>
    </xf>
    <xf numFmtId="0" fontId="28" fillId="3" borderId="0" xfId="0" applyFont="1" applyFill="1"/>
    <xf numFmtId="14" fontId="28" fillId="3" borderId="0" xfId="1" applyNumberFormat="1" applyFont="1" applyFill="1" applyBorder="1"/>
    <xf numFmtId="3" fontId="28" fillId="3" borderId="0" xfId="0" applyNumberFormat="1" applyFont="1" applyFill="1"/>
    <xf numFmtId="9" fontId="28" fillId="3" borderId="0" xfId="0" applyNumberFormat="1" applyFont="1" applyFill="1"/>
    <xf numFmtId="168" fontId="28" fillId="3" borderId="0" xfId="2" applyNumberFormat="1" applyFont="1" applyFill="1" applyBorder="1"/>
    <xf numFmtId="169" fontId="27" fillId="3" borderId="0" xfId="0" applyNumberFormat="1" applyFont="1" applyFill="1" applyAlignment="1">
      <alignment horizontal="center"/>
    </xf>
    <xf numFmtId="0" fontId="13" fillId="3" borderId="0" xfId="0" applyFont="1" applyFill="1" applyAlignment="1">
      <alignment horizontal="left"/>
    </xf>
    <xf numFmtId="3" fontId="31" fillId="3" borderId="0" xfId="0" applyNumberFormat="1" applyFont="1" applyFill="1" applyAlignment="1">
      <alignment vertical="center"/>
    </xf>
    <xf numFmtId="3" fontId="11" fillId="16" borderId="0" xfId="0" applyNumberFormat="1" applyFont="1" applyFill="1" applyAlignment="1">
      <alignment vertical="center"/>
    </xf>
    <xf numFmtId="168" fontId="11" fillId="3" borderId="0" xfId="0" applyNumberFormat="1" applyFont="1" applyFill="1" applyAlignment="1">
      <alignment vertical="center"/>
    </xf>
    <xf numFmtId="0" fontId="32" fillId="3" borderId="0" xfId="0" applyFont="1" applyFill="1" applyAlignment="1">
      <alignment horizontal="left" vertical="center" wrapText="1"/>
    </xf>
    <xf numFmtId="3" fontId="32" fillId="14" borderId="0" xfId="0" applyNumberFormat="1" applyFont="1" applyFill="1" applyAlignment="1">
      <alignment vertical="center"/>
    </xf>
    <xf numFmtId="3" fontId="13" fillId="3" borderId="0" xfId="0" applyNumberFormat="1" applyFont="1" applyFill="1" applyAlignment="1">
      <alignment vertical="center"/>
    </xf>
    <xf numFmtId="180" fontId="13" fillId="3" borderId="0" xfId="0" applyNumberFormat="1" applyFont="1" applyFill="1" applyAlignment="1">
      <alignment horizontal="left" vertical="center" wrapText="1"/>
    </xf>
    <xf numFmtId="10" fontId="11" fillId="3" borderId="0" xfId="2" applyNumberFormat="1" applyFont="1" applyFill="1" applyAlignment="1">
      <alignment vertical="center"/>
    </xf>
    <xf numFmtId="0" fontId="11" fillId="14" borderId="0" xfId="0" applyFont="1" applyFill="1" applyAlignment="1">
      <alignment horizontal="left" vertical="center" wrapText="1"/>
    </xf>
    <xf numFmtId="0" fontId="10" fillId="3" borderId="0" xfId="0" applyFont="1" applyFill="1" applyAlignment="1">
      <alignment horizontal="center" vertical="center" wrapText="1"/>
    </xf>
    <xf numFmtId="0" fontId="21" fillId="2" borderId="0" xfId="0" applyFont="1" applyFill="1" applyAlignment="1">
      <alignment vertical="center"/>
    </xf>
    <xf numFmtId="164" fontId="11" fillId="3" borderId="0" xfId="0" applyNumberFormat="1" applyFont="1" applyFill="1"/>
    <xf numFmtId="166" fontId="11" fillId="3" borderId="0" xfId="0" applyNumberFormat="1" applyFont="1" applyFill="1"/>
    <xf numFmtId="1" fontId="11" fillId="3" borderId="0" xfId="0" applyNumberFormat="1" applyFont="1" applyFill="1"/>
    <xf numFmtId="10" fontId="11" fillId="3" borderId="0" xfId="0" applyNumberFormat="1" applyFont="1" applyFill="1"/>
    <xf numFmtId="168" fontId="11" fillId="3" borderId="0" xfId="0" applyNumberFormat="1" applyFont="1" applyFill="1"/>
    <xf numFmtId="0" fontId="10" fillId="12" borderId="5" xfId="0" applyFont="1" applyFill="1" applyBorder="1"/>
    <xf numFmtId="3" fontId="10" fillId="3" borderId="0" xfId="0" applyNumberFormat="1" applyFont="1" applyFill="1"/>
    <xf numFmtId="0" fontId="11" fillId="13" borderId="6" xfId="0" applyFont="1" applyFill="1" applyBorder="1" applyAlignment="1">
      <alignment horizontal="left" indent="1"/>
    </xf>
    <xf numFmtId="0" fontId="11" fillId="3" borderId="6" xfId="0" applyFont="1" applyFill="1" applyBorder="1" applyAlignment="1">
      <alignment horizontal="left" indent="1"/>
    </xf>
    <xf numFmtId="0" fontId="26" fillId="3" borderId="6" xfId="0" applyFont="1" applyFill="1" applyBorder="1" applyAlignment="1">
      <alignment horizontal="left" indent="3"/>
    </xf>
    <xf numFmtId="0" fontId="26" fillId="3" borderId="0" xfId="0" applyFont="1" applyFill="1"/>
    <xf numFmtId="0" fontId="10" fillId="12" borderId="6" xfId="0" applyFont="1" applyFill="1" applyBorder="1"/>
    <xf numFmtId="3" fontId="33" fillId="14" borderId="0" xfId="0" applyNumberFormat="1" applyFont="1" applyFill="1"/>
    <xf numFmtId="0" fontId="26" fillId="3" borderId="6" xfId="0" applyFont="1" applyFill="1" applyBorder="1" applyAlignment="1">
      <alignment horizontal="left" indent="1"/>
    </xf>
    <xf numFmtId="0" fontId="11" fillId="3" borderId="7" xfId="0" applyFont="1" applyFill="1" applyBorder="1" applyAlignment="1">
      <alignment horizontal="left" indent="1"/>
    </xf>
    <xf numFmtId="169" fontId="11" fillId="3" borderId="0" xfId="0" applyNumberFormat="1" applyFont="1" applyFill="1"/>
    <xf numFmtId="170" fontId="11" fillId="3" borderId="0" xfId="0" applyNumberFormat="1" applyFont="1" applyFill="1"/>
    <xf numFmtId="167" fontId="11" fillId="3" borderId="0" xfId="0" applyNumberFormat="1" applyFont="1" applyFill="1"/>
    <xf numFmtId="171" fontId="11" fillId="3" borderId="0" xfId="0" applyNumberFormat="1" applyFont="1" applyFill="1"/>
    <xf numFmtId="172" fontId="10" fillId="12" borderId="1" xfId="0" applyNumberFormat="1" applyFont="1" applyFill="1" applyBorder="1"/>
    <xf numFmtId="172" fontId="10" fillId="12" borderId="8" xfId="0" applyNumberFormat="1" applyFont="1" applyFill="1" applyBorder="1"/>
    <xf numFmtId="172" fontId="11" fillId="13" borderId="0" xfId="0" applyNumberFormat="1" applyFont="1" applyFill="1"/>
    <xf numFmtId="172" fontId="11" fillId="13" borderId="3" xfId="0" applyNumberFormat="1" applyFont="1" applyFill="1" applyBorder="1"/>
    <xf numFmtId="172" fontId="11" fillId="3" borderId="3" xfId="0" applyNumberFormat="1" applyFont="1" applyFill="1" applyBorder="1"/>
    <xf numFmtId="172" fontId="26" fillId="3" borderId="0" xfId="0" applyNumberFormat="1" applyFont="1" applyFill="1"/>
    <xf numFmtId="172" fontId="26" fillId="3" borderId="3" xfId="0" applyNumberFormat="1" applyFont="1" applyFill="1" applyBorder="1"/>
    <xf numFmtId="172" fontId="10" fillId="12" borderId="0" xfId="0" applyNumberFormat="1" applyFont="1" applyFill="1"/>
    <xf numFmtId="172" fontId="10" fillId="12" borderId="3" xfId="0" applyNumberFormat="1" applyFont="1" applyFill="1" applyBorder="1"/>
    <xf numFmtId="172" fontId="33" fillId="14" borderId="0" xfId="0" applyNumberFormat="1" applyFont="1" applyFill="1"/>
    <xf numFmtId="172" fontId="30" fillId="12" borderId="0" xfId="0" applyNumberFormat="1" applyFont="1" applyFill="1"/>
    <xf numFmtId="172" fontId="11" fillId="3" borderId="2" xfId="0" applyNumberFormat="1" applyFont="1" applyFill="1" applyBorder="1"/>
    <xf numFmtId="4" fontId="11" fillId="3" borderId="2" xfId="0" applyNumberFormat="1" applyFont="1" applyFill="1" applyBorder="1"/>
    <xf numFmtId="172" fontId="11" fillId="3" borderId="4" xfId="0" applyNumberFormat="1" applyFont="1" applyFill="1" applyBorder="1"/>
    <xf numFmtId="9" fontId="11" fillId="3" borderId="0" xfId="0" applyNumberFormat="1" applyFont="1" applyFill="1"/>
    <xf numFmtId="173" fontId="11" fillId="3" borderId="0" xfId="0" applyNumberFormat="1" applyFont="1" applyFill="1"/>
    <xf numFmtId="0" fontId="11" fillId="3" borderId="5" xfId="0" applyFont="1" applyFill="1" applyBorder="1"/>
    <xf numFmtId="0" fontId="11" fillId="3" borderId="6" xfId="0" applyFont="1" applyFill="1" applyBorder="1"/>
    <xf numFmtId="0" fontId="26" fillId="3" borderId="6" xfId="0" applyFont="1" applyFill="1" applyBorder="1"/>
    <xf numFmtId="0" fontId="10" fillId="3" borderId="6" xfId="0" applyFont="1" applyFill="1" applyBorder="1"/>
    <xf numFmtId="0" fontId="10" fillId="3" borderId="7" xfId="0" applyFont="1" applyFill="1" applyBorder="1"/>
    <xf numFmtId="180" fontId="11" fillId="3" borderId="0" xfId="0" applyNumberFormat="1" applyFont="1" applyFill="1"/>
    <xf numFmtId="172" fontId="11" fillId="3" borderId="1" xfId="0" applyNumberFormat="1" applyFont="1" applyFill="1" applyBorder="1"/>
    <xf numFmtId="172" fontId="10" fillId="3" borderId="2" xfId="0" applyNumberFormat="1" applyFont="1" applyFill="1" applyBorder="1"/>
    <xf numFmtId="0" fontId="13" fillId="3" borderId="0" xfId="0" applyFont="1" applyFill="1"/>
    <xf numFmtId="0" fontId="34" fillId="10" borderId="0" xfId="0" applyFont="1" applyFill="1" applyAlignment="1" applyProtection="1">
      <alignment horizontal="left" vertical="center"/>
      <protection hidden="1"/>
    </xf>
    <xf numFmtId="0" fontId="10" fillId="21" borderId="0" xfId="0" applyFont="1" applyFill="1" applyAlignment="1">
      <alignment horizontal="left" vertical="center" wrapText="1"/>
    </xf>
    <xf numFmtId="172" fontId="11" fillId="27" borderId="0" xfId="0" applyNumberFormat="1" applyFont="1" applyFill="1" applyAlignment="1">
      <alignment vertical="center"/>
    </xf>
    <xf numFmtId="0" fontId="11" fillId="14" borderId="0" xfId="0" applyFont="1" applyFill="1"/>
    <xf numFmtId="0" fontId="11" fillId="14" borderId="0" xfId="0" applyFont="1" applyFill="1" applyAlignment="1">
      <alignment vertical="center" wrapText="1"/>
    </xf>
    <xf numFmtId="0" fontId="10" fillId="14" borderId="0" xfId="0" applyFont="1" applyFill="1"/>
    <xf numFmtId="0" fontId="16" fillId="14" borderId="0" xfId="0" applyFont="1" applyFill="1" applyAlignment="1">
      <alignment vertical="center" wrapText="1"/>
    </xf>
    <xf numFmtId="180" fontId="11" fillId="14" borderId="0" xfId="0" applyNumberFormat="1" applyFont="1" applyFill="1"/>
    <xf numFmtId="168" fontId="11" fillId="3" borderId="0" xfId="2" applyNumberFormat="1" applyFont="1" applyFill="1" applyBorder="1"/>
    <xf numFmtId="0" fontId="11" fillId="3" borderId="0" xfId="0" applyFont="1" applyFill="1" applyAlignment="1">
      <alignment vertical="center" wrapText="1"/>
    </xf>
    <xf numFmtId="181" fontId="21" fillId="28" borderId="0" xfId="0" applyNumberFormat="1" applyFont="1" applyFill="1" applyAlignment="1">
      <alignment horizontal="left" vertical="center" wrapText="1"/>
    </xf>
    <xf numFmtId="1" fontId="21" fillId="28" borderId="0" xfId="0" applyNumberFormat="1" applyFont="1" applyFill="1" applyAlignment="1">
      <alignment horizontal="right" vertical="center"/>
    </xf>
    <xf numFmtId="169" fontId="21" fillId="2" borderId="13" xfId="0" applyNumberFormat="1" applyFont="1" applyFill="1" applyBorder="1"/>
    <xf numFmtId="172" fontId="33" fillId="14" borderId="13" xfId="0" applyNumberFormat="1" applyFont="1" applyFill="1" applyBorder="1"/>
    <xf numFmtId="172" fontId="30" fillId="12" borderId="13" xfId="0" applyNumberFormat="1" applyFont="1" applyFill="1" applyBorder="1"/>
    <xf numFmtId="172" fontId="11" fillId="3" borderId="8" xfId="0" applyNumberFormat="1" applyFont="1" applyFill="1" applyBorder="1"/>
    <xf numFmtId="172" fontId="10" fillId="3" borderId="3" xfId="0" applyNumberFormat="1" applyFont="1" applyFill="1" applyBorder="1"/>
    <xf numFmtId="172" fontId="10" fillId="3" borderId="4" xfId="0" applyNumberFormat="1" applyFont="1" applyFill="1" applyBorder="1"/>
    <xf numFmtId="3" fontId="33" fillId="3" borderId="0" xfId="0" applyNumberFormat="1" applyFont="1" applyFill="1"/>
    <xf numFmtId="3" fontId="33" fillId="3" borderId="13" xfId="0" applyNumberFormat="1" applyFont="1" applyFill="1" applyBorder="1"/>
    <xf numFmtId="3" fontId="38" fillId="3" borderId="0" xfId="0" applyNumberFormat="1" applyFont="1" applyFill="1"/>
    <xf numFmtId="3" fontId="38" fillId="3" borderId="13" xfId="0" applyNumberFormat="1" applyFont="1" applyFill="1" applyBorder="1"/>
    <xf numFmtId="172" fontId="30" fillId="12" borderId="1" xfId="0" applyNumberFormat="1" applyFont="1" applyFill="1" applyBorder="1"/>
    <xf numFmtId="172" fontId="30" fillId="12" borderId="14" xfId="0" applyNumberFormat="1" applyFont="1" applyFill="1" applyBorder="1"/>
    <xf numFmtId="172" fontId="33" fillId="13" borderId="0" xfId="0" applyNumberFormat="1" applyFont="1" applyFill="1"/>
    <xf numFmtId="172" fontId="33" fillId="13" borderId="13" xfId="0" applyNumberFormat="1" applyFont="1" applyFill="1" applyBorder="1"/>
    <xf numFmtId="172" fontId="33" fillId="3" borderId="0" xfId="0" applyNumberFormat="1" applyFont="1" applyFill="1"/>
    <xf numFmtId="172" fontId="33" fillId="3" borderId="13" xfId="0" applyNumberFormat="1" applyFont="1" applyFill="1" applyBorder="1"/>
    <xf numFmtId="172" fontId="38" fillId="3" borderId="0" xfId="0" applyNumberFormat="1" applyFont="1" applyFill="1"/>
    <xf numFmtId="172" fontId="38" fillId="3" borderId="13" xfId="0" applyNumberFormat="1" applyFont="1" applyFill="1" applyBorder="1"/>
    <xf numFmtId="172" fontId="33" fillId="3" borderId="2" xfId="0" applyNumberFormat="1" applyFont="1" applyFill="1" applyBorder="1"/>
    <xf numFmtId="172" fontId="33" fillId="3" borderId="12" xfId="0" applyNumberFormat="1" applyFont="1" applyFill="1" applyBorder="1"/>
    <xf numFmtId="3" fontId="38" fillId="14" borderId="0" xfId="0" applyNumberFormat="1" applyFont="1" applyFill="1"/>
    <xf numFmtId="3" fontId="30" fillId="3" borderId="13" xfId="0" applyNumberFormat="1" applyFont="1" applyFill="1" applyBorder="1"/>
    <xf numFmtId="4" fontId="33" fillId="3" borderId="1" xfId="0" applyNumberFormat="1" applyFont="1" applyFill="1" applyBorder="1"/>
    <xf numFmtId="172" fontId="33" fillId="3" borderId="1" xfId="0" applyNumberFormat="1" applyFont="1" applyFill="1" applyBorder="1"/>
    <xf numFmtId="172" fontId="33" fillId="3" borderId="14" xfId="0" applyNumberFormat="1" applyFont="1" applyFill="1" applyBorder="1"/>
    <xf numFmtId="4" fontId="33" fillId="3" borderId="0" xfId="0" applyNumberFormat="1" applyFont="1" applyFill="1"/>
    <xf numFmtId="4" fontId="30" fillId="3" borderId="0" xfId="0" applyNumberFormat="1" applyFont="1" applyFill="1"/>
    <xf numFmtId="172" fontId="30" fillId="3" borderId="0" xfId="0" applyNumberFormat="1" applyFont="1" applyFill="1"/>
    <xf numFmtId="172" fontId="30" fillId="3" borderId="13" xfId="0" applyNumberFormat="1" applyFont="1" applyFill="1" applyBorder="1"/>
    <xf numFmtId="4" fontId="30" fillId="3" borderId="2" xfId="0" applyNumberFormat="1" applyFont="1" applyFill="1" applyBorder="1"/>
    <xf numFmtId="172" fontId="30" fillId="3" borderId="2" xfId="0" applyNumberFormat="1" applyFont="1" applyFill="1" applyBorder="1"/>
    <xf numFmtId="172" fontId="30" fillId="3" borderId="12" xfId="0" applyNumberFormat="1" applyFont="1" applyFill="1" applyBorder="1"/>
    <xf numFmtId="1" fontId="13" fillId="3" borderId="0" xfId="0" applyNumberFormat="1" applyFont="1" applyFill="1" applyAlignment="1">
      <alignment vertical="center"/>
    </xf>
    <xf numFmtId="8" fontId="11" fillId="3" borderId="0" xfId="0" applyNumberFormat="1" applyFont="1" applyFill="1" applyAlignment="1">
      <alignment vertical="center"/>
    </xf>
    <xf numFmtId="0" fontId="16" fillId="3" borderId="0" xfId="0" applyFont="1" applyFill="1" applyAlignment="1">
      <alignment vertical="top"/>
    </xf>
    <xf numFmtId="0" fontId="12" fillId="3" borderId="0" xfId="0" applyFont="1" applyFill="1" applyAlignment="1">
      <alignment vertical="top"/>
    </xf>
    <xf numFmtId="0" fontId="17" fillId="3" borderId="0" xfId="0" applyFont="1" applyFill="1" applyAlignment="1">
      <alignment vertical="top"/>
    </xf>
    <xf numFmtId="0" fontId="14" fillId="3" borderId="0" xfId="0" applyFont="1" applyFill="1" applyAlignment="1">
      <alignment vertical="top"/>
    </xf>
    <xf numFmtId="0" fontId="39" fillId="3" borderId="0" xfId="0" applyFont="1" applyFill="1" applyAlignment="1">
      <alignment horizontal="left" indent="1"/>
    </xf>
    <xf numFmtId="3" fontId="39" fillId="3" borderId="0" xfId="0" applyNumberFormat="1" applyFont="1" applyFill="1"/>
    <xf numFmtId="17" fontId="22" fillId="10" borderId="5" xfId="0" applyNumberFormat="1" applyFont="1" applyFill="1" applyBorder="1"/>
    <xf numFmtId="0" fontId="25" fillId="29" borderId="15" xfId="0" applyFont="1" applyFill="1" applyBorder="1" applyAlignment="1">
      <alignment horizontal="left" vertical="center" indent="1"/>
    </xf>
    <xf numFmtId="3" fontId="25" fillId="29" borderId="16" xfId="0" applyNumberFormat="1" applyFont="1" applyFill="1" applyBorder="1" applyAlignment="1">
      <alignment horizontal="center" vertical="center"/>
    </xf>
    <xf numFmtId="3" fontId="25" fillId="29" borderId="17" xfId="1" applyNumberFormat="1" applyFont="1" applyFill="1" applyBorder="1" applyAlignment="1">
      <alignment horizontal="right" vertical="center"/>
    </xf>
    <xf numFmtId="0" fontId="27" fillId="9" borderId="18" xfId="0" applyFont="1" applyFill="1" applyBorder="1" applyAlignment="1">
      <alignment horizontal="left" vertical="center"/>
    </xf>
    <xf numFmtId="3" fontId="27" fillId="9" borderId="0" xfId="0" applyNumberFormat="1" applyFont="1" applyFill="1" applyAlignment="1">
      <alignment horizontal="right" vertical="center"/>
    </xf>
    <xf numFmtId="3" fontId="27" fillId="9" borderId="19" xfId="1" applyNumberFormat="1" applyFont="1" applyFill="1" applyBorder="1" applyAlignment="1">
      <alignment horizontal="right" vertical="center"/>
    </xf>
    <xf numFmtId="164" fontId="25" fillId="30" borderId="18" xfId="1" applyFont="1" applyFill="1" applyBorder="1" applyAlignment="1">
      <alignment horizontal="left" vertical="center"/>
    </xf>
    <xf numFmtId="3" fontId="25" fillId="30" borderId="0" xfId="0" applyNumberFormat="1" applyFont="1" applyFill="1" applyAlignment="1">
      <alignment horizontal="center" vertical="center"/>
    </xf>
    <xf numFmtId="164" fontId="27" fillId="22" borderId="18" xfId="1" applyFont="1" applyFill="1" applyBorder="1" applyAlignment="1">
      <alignment horizontal="left" vertical="center"/>
    </xf>
    <xf numFmtId="175" fontId="22" fillId="22" borderId="0" xfId="0" applyNumberFormat="1" applyFont="1" applyFill="1" applyAlignment="1">
      <alignment horizontal="right" vertical="center"/>
    </xf>
    <xf numFmtId="164" fontId="22" fillId="8" borderId="18" xfId="1" applyFont="1" applyFill="1" applyBorder="1" applyAlignment="1">
      <alignment horizontal="left" vertical="center" indent="2"/>
    </xf>
    <xf numFmtId="175" fontId="22" fillId="8" borderId="0" xfId="0" applyNumberFormat="1" applyFont="1" applyFill="1" applyAlignment="1">
      <alignment horizontal="right" vertical="center"/>
    </xf>
    <xf numFmtId="3" fontId="28" fillId="8" borderId="19" xfId="1" applyNumberFormat="1" applyFont="1" applyFill="1" applyBorder="1" applyAlignment="1">
      <alignment horizontal="right" vertical="center"/>
    </xf>
    <xf numFmtId="3" fontId="27" fillId="22" borderId="0" xfId="0" applyNumberFormat="1" applyFont="1" applyFill="1" applyAlignment="1">
      <alignment horizontal="center" vertical="center"/>
    </xf>
    <xf numFmtId="164" fontId="22" fillId="8" borderId="18" xfId="1" applyFont="1" applyFill="1" applyBorder="1" applyAlignment="1">
      <alignment horizontal="left" vertical="center"/>
    </xf>
    <xf numFmtId="3" fontId="28" fillId="8" borderId="0" xfId="0" applyNumberFormat="1" applyFont="1" applyFill="1" applyAlignment="1">
      <alignment horizontal="center" vertical="center"/>
    </xf>
    <xf numFmtId="0" fontId="11" fillId="3" borderId="18" xfId="0" applyFont="1" applyFill="1" applyBorder="1"/>
    <xf numFmtId="0" fontId="11" fillId="3" borderId="19" xfId="0" applyFont="1" applyFill="1" applyBorder="1"/>
    <xf numFmtId="164" fontId="25" fillId="30" borderId="20" xfId="1" applyFont="1" applyFill="1" applyBorder="1" applyAlignment="1">
      <alignment horizontal="left" vertical="center"/>
    </xf>
    <xf numFmtId="3" fontId="25" fillId="30" borderId="21" xfId="0" applyNumberFormat="1" applyFont="1" applyFill="1" applyBorder="1" applyAlignment="1">
      <alignment horizontal="center" vertical="center"/>
    </xf>
    <xf numFmtId="172" fontId="27" fillId="9" borderId="18" xfId="0" applyNumberFormat="1" applyFont="1" applyFill="1" applyBorder="1" applyAlignment="1">
      <alignment horizontal="right" vertical="center"/>
    </xf>
    <xf numFmtId="172" fontId="27" fillId="9" borderId="0" xfId="0" applyNumberFormat="1" applyFont="1" applyFill="1" applyAlignment="1">
      <alignment horizontal="right" vertical="center"/>
    </xf>
    <xf numFmtId="164" fontId="22" fillId="8" borderId="18" xfId="1" applyFont="1" applyFill="1" applyBorder="1" applyAlignment="1">
      <alignment horizontal="left" vertical="center" indent="1"/>
    </xf>
    <xf numFmtId="3" fontId="22" fillId="8" borderId="0" xfId="0" applyNumberFormat="1" applyFont="1" applyFill="1" applyAlignment="1">
      <alignment horizontal="center" vertical="center"/>
    </xf>
    <xf numFmtId="3" fontId="22" fillId="8" borderId="19" xfId="1" applyNumberFormat="1" applyFont="1" applyFill="1" applyBorder="1" applyAlignment="1">
      <alignment horizontal="right" vertical="center"/>
    </xf>
    <xf numFmtId="164" fontId="22" fillId="22" borderId="18" xfId="1" applyFont="1" applyFill="1" applyBorder="1" applyAlignment="1">
      <alignment horizontal="left" vertical="center" indent="2"/>
    </xf>
    <xf numFmtId="3" fontId="22" fillId="22" borderId="0" xfId="0" applyNumberFormat="1" applyFont="1" applyFill="1" applyAlignment="1">
      <alignment horizontal="center" vertical="center"/>
    </xf>
    <xf numFmtId="175" fontId="22" fillId="22" borderId="0" xfId="0" applyNumberFormat="1" applyFont="1" applyFill="1" applyAlignment="1">
      <alignment horizontal="center" vertical="center"/>
    </xf>
    <xf numFmtId="164" fontId="22" fillId="22" borderId="18" xfId="1" applyFont="1" applyFill="1" applyBorder="1" applyAlignment="1">
      <alignment horizontal="left" vertical="center" indent="1"/>
    </xf>
    <xf numFmtId="164" fontId="22" fillId="20" borderId="18" xfId="1" applyFont="1" applyFill="1" applyBorder="1" applyAlignment="1">
      <alignment horizontal="left" vertical="center" indent="1"/>
    </xf>
    <xf numFmtId="3" fontId="22" fillId="20" borderId="0" xfId="0" applyNumberFormat="1" applyFont="1" applyFill="1" applyAlignment="1">
      <alignment horizontal="center" vertical="center"/>
    </xf>
    <xf numFmtId="3" fontId="22" fillId="20" borderId="19" xfId="1" applyNumberFormat="1" applyFont="1" applyFill="1" applyBorder="1" applyAlignment="1">
      <alignment horizontal="right" vertical="center"/>
    </xf>
    <xf numFmtId="0" fontId="22" fillId="8" borderId="18" xfId="0" applyFont="1" applyFill="1" applyBorder="1" applyAlignment="1">
      <alignment horizontal="left" vertical="center" indent="2"/>
    </xf>
    <xf numFmtId="0" fontId="25" fillId="31" borderId="0" xfId="0" applyFont="1" applyFill="1" applyAlignment="1" applyProtection="1">
      <alignment horizontal="left" vertical="center"/>
      <protection hidden="1"/>
    </xf>
    <xf numFmtId="0" fontId="29" fillId="31" borderId="0" xfId="0" applyFont="1" applyFill="1" applyAlignment="1">
      <alignment vertical="center"/>
    </xf>
    <xf numFmtId="0" fontId="25" fillId="31" borderId="0" xfId="0" applyFont="1" applyFill="1" applyAlignment="1">
      <alignment horizontal="center" vertical="center"/>
    </xf>
    <xf numFmtId="0" fontId="29" fillId="31" borderId="4" xfId="0" applyFont="1" applyFill="1" applyBorder="1" applyAlignment="1" applyProtection="1">
      <alignment horizontal="right"/>
      <protection hidden="1"/>
    </xf>
    <xf numFmtId="0" fontId="25" fillId="31" borderId="0" xfId="0" applyFont="1" applyFill="1" applyAlignment="1" applyProtection="1">
      <alignment horizontal="centerContinuous" vertical="center" wrapText="1"/>
      <protection hidden="1"/>
    </xf>
    <xf numFmtId="0" fontId="25" fillId="31" borderId="0" xfId="0" applyFont="1" applyFill="1" applyAlignment="1" applyProtection="1">
      <alignment vertical="center"/>
      <protection hidden="1"/>
    </xf>
    <xf numFmtId="3" fontId="25" fillId="31" borderId="0" xfId="0" applyNumberFormat="1" applyFont="1" applyFill="1" applyAlignment="1" applyProtection="1">
      <alignment horizontal="center" vertical="center"/>
      <protection hidden="1"/>
    </xf>
    <xf numFmtId="0" fontId="21" fillId="28" borderId="0" xfId="0" applyFont="1" applyFill="1" applyAlignment="1">
      <alignment horizontal="left" vertical="center" wrapText="1"/>
    </xf>
    <xf numFmtId="0" fontId="21" fillId="28" borderId="0" xfId="0" applyFont="1" applyFill="1" applyAlignment="1">
      <alignment vertical="center"/>
    </xf>
    <xf numFmtId="3" fontId="21" fillId="28" borderId="0" xfId="0" applyNumberFormat="1" applyFont="1" applyFill="1" applyAlignment="1">
      <alignment vertical="center"/>
    </xf>
    <xf numFmtId="172" fontId="10" fillId="14" borderId="0" xfId="0" applyNumberFormat="1" applyFont="1" applyFill="1"/>
    <xf numFmtId="0" fontId="21" fillId="28" borderId="0" xfId="0" applyFont="1" applyFill="1" applyAlignment="1">
      <alignment horizontal="center" vertical="center" wrapText="1"/>
    </xf>
    <xf numFmtId="0" fontId="40" fillId="8" borderId="0" xfId="5" applyFont="1" applyFill="1" applyAlignment="1">
      <alignment horizontal="centerContinuous" vertical="center" wrapText="1"/>
    </xf>
    <xf numFmtId="3" fontId="33" fillId="14" borderId="16" xfId="0" applyNumberFormat="1" applyFont="1" applyFill="1" applyBorder="1"/>
    <xf numFmtId="3" fontId="33" fillId="14" borderId="16" xfId="0" applyNumberFormat="1" applyFont="1" applyFill="1" applyBorder="1" applyAlignment="1">
      <alignment vertical="center"/>
    </xf>
    <xf numFmtId="3" fontId="11" fillId="23" borderId="16" xfId="0" applyNumberFormat="1" applyFont="1" applyFill="1" applyBorder="1" applyAlignment="1">
      <alignment vertical="center"/>
    </xf>
    <xf numFmtId="3" fontId="11" fillId="23" borderId="17" xfId="0" applyNumberFormat="1" applyFont="1" applyFill="1" applyBorder="1" applyAlignment="1">
      <alignment vertical="center"/>
    </xf>
    <xf numFmtId="3" fontId="11" fillId="23" borderId="0" xfId="0" applyNumberFormat="1" applyFont="1" applyFill="1" applyAlignment="1">
      <alignment vertical="center"/>
    </xf>
    <xf numFmtId="3" fontId="11" fillId="23" borderId="19" xfId="0" applyNumberFormat="1" applyFont="1" applyFill="1" applyBorder="1" applyAlignment="1">
      <alignment vertical="center"/>
    </xf>
    <xf numFmtId="0" fontId="11" fillId="3" borderId="21" xfId="0" applyFont="1" applyFill="1" applyBorder="1"/>
    <xf numFmtId="168" fontId="33" fillId="14" borderId="16" xfId="2" applyNumberFormat="1" applyFont="1" applyFill="1" applyBorder="1" applyAlignment="1">
      <alignment vertical="center"/>
    </xf>
    <xf numFmtId="168" fontId="10" fillId="14" borderId="16" xfId="2" applyNumberFormat="1" applyFont="1" applyFill="1" applyBorder="1" applyAlignment="1">
      <alignment vertical="center"/>
    </xf>
    <xf numFmtId="168" fontId="10" fillId="14" borderId="17" xfId="2" applyNumberFormat="1" applyFont="1" applyFill="1" applyBorder="1" applyAlignment="1">
      <alignment vertical="center"/>
    </xf>
    <xf numFmtId="168" fontId="11" fillId="23" borderId="0" xfId="0" applyNumberFormat="1" applyFont="1" applyFill="1" applyAlignment="1">
      <alignment vertical="center"/>
    </xf>
    <xf numFmtId="168" fontId="11" fillId="23" borderId="19" xfId="0" applyNumberFormat="1" applyFont="1" applyFill="1" applyBorder="1" applyAlignment="1">
      <alignment vertical="center"/>
    </xf>
    <xf numFmtId="168" fontId="11" fillId="14" borderId="16" xfId="2" applyNumberFormat="1" applyFont="1" applyFill="1" applyBorder="1" applyAlignment="1">
      <alignment vertical="center"/>
    </xf>
    <xf numFmtId="168" fontId="11" fillId="14" borderId="21" xfId="2" applyNumberFormat="1" applyFont="1" applyFill="1" applyBorder="1" applyAlignment="1">
      <alignment vertical="center"/>
    </xf>
    <xf numFmtId="168" fontId="11" fillId="3" borderId="21" xfId="2" applyNumberFormat="1" applyFont="1" applyFill="1" applyBorder="1"/>
    <xf numFmtId="168" fontId="11" fillId="3" borderId="22" xfId="2" applyNumberFormat="1" applyFont="1" applyFill="1" applyBorder="1"/>
    <xf numFmtId="168" fontId="11" fillId="3" borderId="19" xfId="2" applyNumberFormat="1" applyFont="1" applyFill="1" applyBorder="1"/>
    <xf numFmtId="3" fontId="11" fillId="23" borderId="18" xfId="0" applyNumberFormat="1" applyFont="1" applyFill="1" applyBorder="1" applyAlignment="1">
      <alignment vertical="center"/>
    </xf>
    <xf numFmtId="9" fontId="11" fillId="23" borderId="30" xfId="2" applyFont="1" applyFill="1" applyBorder="1" applyAlignment="1">
      <alignment vertical="center"/>
    </xf>
    <xf numFmtId="9" fontId="11" fillId="23" borderId="24" xfId="2" applyFont="1" applyFill="1" applyBorder="1" applyAlignment="1">
      <alignment vertical="center"/>
    </xf>
    <xf numFmtId="9" fontId="11" fillId="23" borderId="25" xfId="2" applyFont="1" applyFill="1" applyBorder="1" applyAlignment="1">
      <alignment vertical="center"/>
    </xf>
    <xf numFmtId="172" fontId="11" fillId="14" borderId="24" xfId="0" applyNumberFormat="1" applyFont="1" applyFill="1" applyBorder="1" applyAlignment="1">
      <alignment vertical="center"/>
    </xf>
    <xf numFmtId="172" fontId="11" fillId="14" borderId="25" xfId="0" applyNumberFormat="1" applyFont="1" applyFill="1" applyBorder="1" applyAlignment="1">
      <alignment vertical="center"/>
    </xf>
    <xf numFmtId="172" fontId="11" fillId="14" borderId="15" xfId="0" applyNumberFormat="1" applyFont="1" applyFill="1" applyBorder="1" applyAlignment="1">
      <alignment vertical="center"/>
    </xf>
    <xf numFmtId="172" fontId="11" fillId="14" borderId="16" xfId="0" applyNumberFormat="1" applyFont="1" applyFill="1" applyBorder="1" applyAlignment="1">
      <alignment vertical="center"/>
    </xf>
    <xf numFmtId="3" fontId="11" fillId="23" borderId="15" xfId="0" applyNumberFormat="1" applyFont="1" applyFill="1" applyBorder="1" applyAlignment="1">
      <alignment vertical="center"/>
    </xf>
    <xf numFmtId="0" fontId="21" fillId="2" borderId="15" xfId="0" applyFont="1" applyFill="1" applyBorder="1"/>
    <xf numFmtId="169" fontId="21" fillId="2" borderId="16" xfId="0" applyNumberFormat="1" applyFont="1" applyFill="1" applyBorder="1"/>
    <xf numFmtId="169" fontId="21" fillId="2" borderId="17" xfId="0" applyNumberFormat="1" applyFont="1" applyFill="1" applyBorder="1"/>
    <xf numFmtId="0" fontId="10" fillId="6" borderId="31" xfId="0" applyFont="1" applyFill="1" applyBorder="1"/>
    <xf numFmtId="3" fontId="30" fillId="6" borderId="32" xfId="0" applyNumberFormat="1" applyFont="1" applyFill="1" applyBorder="1"/>
    <xf numFmtId="0" fontId="10" fillId="6" borderId="18" xfId="0" applyFont="1" applyFill="1" applyBorder="1"/>
    <xf numFmtId="3" fontId="10" fillId="6" borderId="0" xfId="0" applyNumberFormat="1" applyFont="1" applyFill="1"/>
    <xf numFmtId="3" fontId="10" fillId="6" borderId="19" xfId="0" applyNumberFormat="1" applyFont="1" applyFill="1" applyBorder="1"/>
    <xf numFmtId="0" fontId="26" fillId="5" borderId="18" xfId="0" applyFont="1" applyFill="1" applyBorder="1" applyAlignment="1">
      <alignment horizontal="left" indent="1"/>
    </xf>
    <xf numFmtId="3" fontId="26" fillId="5" borderId="0" xfId="0" applyNumberFormat="1" applyFont="1" applyFill="1"/>
    <xf numFmtId="3" fontId="26" fillId="5" borderId="19" xfId="0" applyNumberFormat="1" applyFont="1" applyFill="1" applyBorder="1"/>
    <xf numFmtId="0" fontId="11" fillId="3" borderId="18" xfId="0" applyFont="1" applyFill="1" applyBorder="1" applyAlignment="1">
      <alignment horizontal="left" vertical="center" indent="2"/>
    </xf>
    <xf numFmtId="3" fontId="11" fillId="14" borderId="19" xfId="0" applyNumberFormat="1" applyFont="1" applyFill="1" applyBorder="1"/>
    <xf numFmtId="3" fontId="11" fillId="3" borderId="19" xfId="0" applyNumberFormat="1" applyFont="1" applyFill="1" applyBorder="1"/>
    <xf numFmtId="0" fontId="11" fillId="3" borderId="18" xfId="0" applyFont="1" applyFill="1" applyBorder="1" applyAlignment="1">
      <alignment horizontal="left" indent="2"/>
    </xf>
    <xf numFmtId="0" fontId="10" fillId="6" borderId="20" xfId="0" applyFont="1" applyFill="1" applyBorder="1"/>
    <xf numFmtId="3" fontId="10" fillId="6" borderId="21" xfId="0" applyNumberFormat="1" applyFont="1" applyFill="1" applyBorder="1"/>
    <xf numFmtId="3" fontId="10" fillId="6" borderId="22" xfId="0" applyNumberFormat="1" applyFont="1" applyFill="1" applyBorder="1"/>
    <xf numFmtId="0" fontId="10" fillId="6" borderId="15" xfId="0" applyFont="1" applyFill="1" applyBorder="1"/>
    <xf numFmtId="3" fontId="10" fillId="6" borderId="16" xfId="0" applyNumberFormat="1" applyFont="1" applyFill="1" applyBorder="1"/>
    <xf numFmtId="3" fontId="10" fillId="6" borderId="17" xfId="0" applyNumberFormat="1" applyFont="1" applyFill="1" applyBorder="1"/>
    <xf numFmtId="0" fontId="26" fillId="3" borderId="18" xfId="0" applyFont="1" applyFill="1" applyBorder="1" applyAlignment="1">
      <alignment horizontal="left" indent="3"/>
    </xf>
    <xf numFmtId="0" fontId="26" fillId="3" borderId="20" xfId="0" applyFont="1" applyFill="1" applyBorder="1" applyAlignment="1">
      <alignment horizontal="left" indent="3"/>
    </xf>
    <xf numFmtId="3" fontId="11" fillId="3" borderId="21" xfId="0" applyNumberFormat="1" applyFont="1" applyFill="1" applyBorder="1"/>
    <xf numFmtId="3" fontId="11" fillId="3" borderId="22" xfId="0" applyNumberFormat="1" applyFont="1" applyFill="1" applyBorder="1"/>
    <xf numFmtId="0" fontId="11" fillId="3" borderId="20" xfId="0" applyFont="1" applyFill="1" applyBorder="1" applyAlignment="1">
      <alignment horizontal="left" indent="2"/>
    </xf>
    <xf numFmtId="0" fontId="22" fillId="3" borderId="0" xfId="0" applyFont="1" applyFill="1" applyAlignment="1">
      <alignment horizontal="left" vertical="center" wrapText="1"/>
    </xf>
    <xf numFmtId="0" fontId="22" fillId="3" borderId="0" xfId="0" applyFont="1" applyFill="1" applyAlignment="1">
      <alignment vertical="center"/>
    </xf>
    <xf numFmtId="0" fontId="21" fillId="4" borderId="30" xfId="0" applyFont="1" applyFill="1" applyBorder="1"/>
    <xf numFmtId="3" fontId="21" fillId="4" borderId="24" xfId="0" applyNumberFormat="1" applyFont="1" applyFill="1" applyBorder="1"/>
    <xf numFmtId="3" fontId="21" fillId="4" borderId="25" xfId="0" applyNumberFormat="1" applyFont="1" applyFill="1" applyBorder="1"/>
    <xf numFmtId="0" fontId="10" fillId="13" borderId="16" xfId="0" applyFont="1" applyFill="1" applyBorder="1" applyAlignment="1">
      <alignment vertical="center" wrapText="1"/>
    </xf>
    <xf numFmtId="3" fontId="10" fillId="13" borderId="16" xfId="0" applyNumberFormat="1" applyFont="1" applyFill="1" applyBorder="1" applyAlignment="1">
      <alignment vertical="center"/>
    </xf>
    <xf numFmtId="3" fontId="10" fillId="13" borderId="17" xfId="0" applyNumberFormat="1" applyFont="1" applyFill="1" applyBorder="1" applyAlignment="1">
      <alignment vertical="center"/>
    </xf>
    <xf numFmtId="3" fontId="11" fillId="3" borderId="19" xfId="0" applyNumberFormat="1" applyFont="1" applyFill="1" applyBorder="1" applyAlignment="1">
      <alignment vertical="center"/>
    </xf>
    <xf numFmtId="3" fontId="10" fillId="3" borderId="19" xfId="0" applyNumberFormat="1" applyFont="1" applyFill="1" applyBorder="1" applyAlignment="1">
      <alignment vertical="center"/>
    </xf>
    <xf numFmtId="0" fontId="11" fillId="3" borderId="21" xfId="0" applyFont="1" applyFill="1" applyBorder="1" applyAlignment="1">
      <alignment vertical="center"/>
    </xf>
    <xf numFmtId="3" fontId="11" fillId="3" borderId="21" xfId="0" applyNumberFormat="1" applyFont="1" applyFill="1" applyBorder="1" applyAlignment="1">
      <alignment vertical="center"/>
    </xf>
    <xf numFmtId="3" fontId="11" fillId="3" borderId="22" xfId="0" applyNumberFormat="1" applyFont="1" applyFill="1" applyBorder="1" applyAlignment="1">
      <alignment vertical="center"/>
    </xf>
    <xf numFmtId="3" fontId="11" fillId="14" borderId="19" xfId="0" applyNumberFormat="1" applyFont="1" applyFill="1" applyBorder="1" applyAlignment="1">
      <alignment vertical="center"/>
    </xf>
    <xf numFmtId="0" fontId="10" fillId="3" borderId="21" xfId="0" applyFont="1" applyFill="1" applyBorder="1" applyAlignment="1">
      <alignment vertical="center"/>
    </xf>
    <xf numFmtId="3" fontId="10" fillId="3" borderId="21" xfId="0" applyNumberFormat="1" applyFont="1" applyFill="1" applyBorder="1" applyAlignment="1">
      <alignment vertical="center"/>
    </xf>
    <xf numFmtId="3" fontId="10" fillId="3" borderId="22" xfId="0" applyNumberFormat="1" applyFont="1" applyFill="1" applyBorder="1" applyAlignment="1">
      <alignment vertical="center"/>
    </xf>
    <xf numFmtId="0" fontId="10" fillId="3" borderId="16" xfId="0" applyFont="1" applyFill="1" applyBorder="1" applyAlignment="1">
      <alignment vertical="center"/>
    </xf>
    <xf numFmtId="3" fontId="10" fillId="3" borderId="16" xfId="0" applyNumberFormat="1" applyFont="1" applyFill="1" applyBorder="1" applyAlignment="1">
      <alignment vertical="center"/>
    </xf>
    <xf numFmtId="3" fontId="10" fillId="3" borderId="17" xfId="0" applyNumberFormat="1" applyFont="1" applyFill="1" applyBorder="1" applyAlignment="1">
      <alignment vertical="center"/>
    </xf>
    <xf numFmtId="3" fontId="10" fillId="12" borderId="21" xfId="0" applyNumberFormat="1" applyFont="1" applyFill="1" applyBorder="1" applyAlignment="1">
      <alignment vertical="center"/>
    </xf>
    <xf numFmtId="3" fontId="10" fillId="12" borderId="22" xfId="0" applyNumberFormat="1" applyFont="1" applyFill="1" applyBorder="1" applyAlignment="1">
      <alignment vertical="center"/>
    </xf>
    <xf numFmtId="0" fontId="10" fillId="3" borderId="15" xfId="0" applyFont="1" applyFill="1" applyBorder="1" applyAlignment="1">
      <alignment vertical="center" wrapText="1"/>
    </xf>
    <xf numFmtId="0" fontId="10" fillId="3" borderId="18" xfId="0" applyFont="1" applyFill="1" applyBorder="1" applyAlignment="1">
      <alignment vertical="center"/>
    </xf>
    <xf numFmtId="0" fontId="11" fillId="3" borderId="18" xfId="0" applyFont="1" applyFill="1" applyBorder="1" applyAlignment="1">
      <alignment vertical="center"/>
    </xf>
    <xf numFmtId="0" fontId="10" fillId="12" borderId="20" xfId="0" applyFont="1" applyFill="1" applyBorder="1" applyAlignment="1">
      <alignment vertical="center"/>
    </xf>
    <xf numFmtId="0" fontId="11" fillId="3" borderId="15" xfId="0" applyFont="1" applyFill="1" applyBorder="1" applyAlignment="1">
      <alignment vertical="center"/>
    </xf>
    <xf numFmtId="3" fontId="11" fillId="3" borderId="16" xfId="0" applyNumberFormat="1" applyFont="1" applyFill="1" applyBorder="1" applyAlignment="1">
      <alignment vertical="center"/>
    </xf>
    <xf numFmtId="3" fontId="11" fillId="3" borderId="17" xfId="0" applyNumberFormat="1" applyFont="1" applyFill="1" applyBorder="1" applyAlignment="1">
      <alignment vertical="center"/>
    </xf>
    <xf numFmtId="0" fontId="10" fillId="3" borderId="15" xfId="0" applyFont="1" applyFill="1" applyBorder="1" applyAlignment="1">
      <alignment vertical="center"/>
    </xf>
    <xf numFmtId="169" fontId="21" fillId="15" borderId="24" xfId="0" applyNumberFormat="1" applyFont="1" applyFill="1" applyBorder="1"/>
    <xf numFmtId="0" fontId="21" fillId="15" borderId="30" xfId="0" applyFont="1" applyFill="1" applyBorder="1"/>
    <xf numFmtId="169" fontId="21" fillId="15" borderId="25" xfId="0" applyNumberFormat="1" applyFont="1" applyFill="1" applyBorder="1"/>
    <xf numFmtId="0" fontId="11" fillId="3" borderId="26" xfId="0" applyFont="1" applyFill="1" applyBorder="1" applyAlignment="1">
      <alignment horizontal="left" vertical="center"/>
    </xf>
    <xf numFmtId="172" fontId="11" fillId="3" borderId="19" xfId="0" applyNumberFormat="1" applyFont="1" applyFill="1" applyBorder="1"/>
    <xf numFmtId="180" fontId="33" fillId="3" borderId="0" xfId="0" applyNumberFormat="1" applyFont="1" applyFill="1"/>
    <xf numFmtId="0" fontId="11" fillId="3" borderId="20" xfId="0" applyFont="1" applyFill="1" applyBorder="1" applyAlignment="1">
      <alignment horizontal="left" vertical="center"/>
    </xf>
    <xf numFmtId="180" fontId="33" fillId="3" borderId="21" xfId="0" applyNumberFormat="1" applyFont="1" applyFill="1" applyBorder="1"/>
    <xf numFmtId="180" fontId="33" fillId="3" borderId="33" xfId="0" applyNumberFormat="1" applyFont="1" applyFill="1" applyBorder="1"/>
    <xf numFmtId="180" fontId="11" fillId="3" borderId="21" xfId="0" applyNumberFormat="1" applyFont="1" applyFill="1" applyBorder="1"/>
    <xf numFmtId="180" fontId="11" fillId="3" borderId="22" xfId="0" applyNumberFormat="1" applyFont="1" applyFill="1" applyBorder="1"/>
    <xf numFmtId="1" fontId="21" fillId="15" borderId="24" xfId="0" applyNumberFormat="1" applyFont="1" applyFill="1" applyBorder="1"/>
    <xf numFmtId="1" fontId="21" fillId="15" borderId="25" xfId="0" applyNumberFormat="1" applyFont="1" applyFill="1" applyBorder="1"/>
    <xf numFmtId="172" fontId="33" fillId="3" borderId="21" xfId="0" applyNumberFormat="1" applyFont="1" applyFill="1" applyBorder="1"/>
    <xf numFmtId="172" fontId="33" fillId="3" borderId="33" xfId="0" applyNumberFormat="1" applyFont="1" applyFill="1" applyBorder="1"/>
    <xf numFmtId="15" fontId="22" fillId="32" borderId="0" xfId="0" applyNumberFormat="1" applyFont="1" applyFill="1" applyAlignment="1" applyProtection="1">
      <alignment horizontal="center" vertical="center"/>
      <protection hidden="1"/>
    </xf>
    <xf numFmtId="179" fontId="22" fillId="32" borderId="0" xfId="0" applyNumberFormat="1" applyFont="1" applyFill="1" applyAlignment="1" applyProtection="1">
      <alignment horizontal="center" vertical="center"/>
      <protection hidden="1"/>
    </xf>
    <xf numFmtId="0" fontId="22" fillId="32" borderId="0" xfId="0" applyFont="1" applyFill="1" applyAlignment="1" applyProtection="1">
      <alignment horizontal="center" vertical="center"/>
      <protection hidden="1"/>
    </xf>
    <xf numFmtId="10" fontId="22" fillId="32" borderId="0" xfId="0" applyNumberFormat="1" applyFont="1" applyFill="1" applyAlignment="1" applyProtection="1">
      <alignment horizontal="center" vertical="center"/>
      <protection hidden="1"/>
    </xf>
    <xf numFmtId="3" fontId="22" fillId="32" borderId="0" xfId="0" applyNumberFormat="1" applyFont="1" applyFill="1" applyAlignment="1" applyProtection="1">
      <alignment horizontal="center" vertical="center"/>
      <protection hidden="1"/>
    </xf>
    <xf numFmtId="15" fontId="28" fillId="32" borderId="0" xfId="0" applyNumberFormat="1" applyFont="1" applyFill="1" applyAlignment="1" applyProtection="1">
      <alignment horizontal="center" vertical="center"/>
      <protection hidden="1"/>
    </xf>
    <xf numFmtId="3" fontId="10" fillId="24" borderId="16" xfId="0" applyNumberFormat="1" applyFont="1" applyFill="1" applyBorder="1" applyAlignment="1">
      <alignment vertical="center"/>
    </xf>
    <xf numFmtId="0" fontId="21" fillId="17" borderId="0" xfId="0" applyFont="1" applyFill="1" applyAlignment="1">
      <alignment vertical="center"/>
    </xf>
    <xf numFmtId="3" fontId="21" fillId="17" borderId="0" xfId="0" applyNumberFormat="1" applyFont="1" applyFill="1" applyAlignment="1">
      <alignment vertical="center"/>
    </xf>
    <xf numFmtId="3" fontId="21" fillId="17" borderId="19" xfId="0" applyNumberFormat="1" applyFont="1" applyFill="1" applyBorder="1" applyAlignment="1">
      <alignment vertical="center"/>
    </xf>
    <xf numFmtId="0" fontId="21" fillId="17" borderId="21" xfId="0" applyFont="1" applyFill="1" applyBorder="1" applyAlignment="1">
      <alignment vertical="center"/>
    </xf>
    <xf numFmtId="3" fontId="21" fillId="17" borderId="21" xfId="0" applyNumberFormat="1" applyFont="1" applyFill="1" applyBorder="1" applyAlignment="1">
      <alignment vertical="center"/>
    </xf>
    <xf numFmtId="3" fontId="21" fillId="17" borderId="22" xfId="0" applyNumberFormat="1" applyFont="1" applyFill="1" applyBorder="1" applyAlignment="1">
      <alignment vertical="center"/>
    </xf>
    <xf numFmtId="0" fontId="11" fillId="3" borderId="16" xfId="0" applyFont="1" applyFill="1" applyBorder="1" applyAlignment="1">
      <alignment vertical="center"/>
    </xf>
    <xf numFmtId="3" fontId="11" fillId="24" borderId="16" xfId="0" applyNumberFormat="1" applyFont="1" applyFill="1" applyBorder="1" applyAlignment="1">
      <alignment vertical="center"/>
    </xf>
    <xf numFmtId="10" fontId="11" fillId="3" borderId="0" xfId="2" applyNumberFormat="1" applyFont="1" applyFill="1"/>
    <xf numFmtId="168" fontId="33" fillId="3" borderId="13" xfId="2" applyNumberFormat="1" applyFont="1" applyFill="1" applyBorder="1"/>
    <xf numFmtId="168" fontId="11" fillId="3" borderId="0" xfId="2" applyNumberFormat="1" applyFont="1" applyFill="1"/>
    <xf numFmtId="168" fontId="11" fillId="14" borderId="0" xfId="2" applyNumberFormat="1" applyFont="1" applyFill="1"/>
    <xf numFmtId="10" fontId="11" fillId="14" borderId="0" xfId="2" applyNumberFormat="1" applyFont="1" applyFill="1"/>
    <xf numFmtId="3" fontId="33" fillId="3" borderId="16" xfId="0" applyNumberFormat="1" applyFont="1" applyFill="1" applyBorder="1"/>
    <xf numFmtId="168" fontId="33" fillId="3" borderId="16" xfId="2" applyNumberFormat="1" applyFont="1" applyFill="1" applyBorder="1"/>
    <xf numFmtId="168" fontId="33" fillId="3" borderId="34" xfId="2" applyNumberFormat="1" applyFont="1" applyFill="1" applyBorder="1"/>
    <xf numFmtId="168" fontId="11" fillId="3" borderId="16" xfId="2" applyNumberFormat="1" applyFont="1" applyFill="1" applyBorder="1"/>
    <xf numFmtId="168" fontId="11" fillId="3" borderId="17" xfId="2" applyNumberFormat="1" applyFont="1" applyFill="1" applyBorder="1"/>
    <xf numFmtId="168" fontId="33" fillId="3" borderId="0" xfId="2" applyNumberFormat="1" applyFont="1" applyFill="1" applyBorder="1"/>
    <xf numFmtId="168" fontId="33" fillId="3" borderId="21" xfId="2" applyNumberFormat="1" applyFont="1" applyFill="1" applyBorder="1"/>
    <xf numFmtId="168" fontId="33" fillId="3" borderId="33" xfId="2" applyNumberFormat="1" applyFont="1" applyFill="1" applyBorder="1"/>
    <xf numFmtId="180" fontId="11" fillId="3" borderId="16" xfId="0" applyNumberFormat="1" applyFont="1" applyFill="1" applyBorder="1"/>
    <xf numFmtId="0" fontId="41" fillId="3" borderId="0" xfId="0" applyFont="1" applyFill="1"/>
    <xf numFmtId="0" fontId="42" fillId="3" borderId="0" xfId="0" applyFont="1" applyFill="1"/>
    <xf numFmtId="3" fontId="11" fillId="3" borderId="16" xfId="0" applyNumberFormat="1" applyFont="1" applyFill="1" applyBorder="1"/>
    <xf numFmtId="3" fontId="11" fillId="3" borderId="17" xfId="0" applyNumberFormat="1" applyFont="1" applyFill="1" applyBorder="1"/>
    <xf numFmtId="0" fontId="11" fillId="3" borderId="27" xfId="0" applyFont="1" applyFill="1" applyBorder="1"/>
    <xf numFmtId="0" fontId="11" fillId="3" borderId="29" xfId="0" applyFont="1" applyFill="1" applyBorder="1"/>
    <xf numFmtId="3" fontId="30" fillId="12" borderId="0" xfId="0" applyNumberFormat="1" applyFont="1" applyFill="1"/>
    <xf numFmtId="3" fontId="10" fillId="12" borderId="0" xfId="0" applyNumberFormat="1" applyFont="1" applyFill="1"/>
    <xf numFmtId="3" fontId="10" fillId="12" borderId="19" xfId="0" applyNumberFormat="1" applyFont="1" applyFill="1" applyBorder="1"/>
    <xf numFmtId="3" fontId="33" fillId="13" borderId="0" xfId="0" applyNumberFormat="1" applyFont="1" applyFill="1"/>
    <xf numFmtId="3" fontId="11" fillId="13" borderId="0" xfId="0" applyNumberFormat="1" applyFont="1" applyFill="1"/>
    <xf numFmtId="3" fontId="11" fillId="13" borderId="19" xfId="0" applyNumberFormat="1" applyFont="1" applyFill="1" applyBorder="1"/>
    <xf numFmtId="3" fontId="26" fillId="3" borderId="19" xfId="0" applyNumberFormat="1" applyFont="1" applyFill="1" applyBorder="1"/>
    <xf numFmtId="3" fontId="33" fillId="3" borderId="21" xfId="0" applyNumberFormat="1" applyFont="1" applyFill="1" applyBorder="1"/>
    <xf numFmtId="0" fontId="10" fillId="12" borderId="29" xfId="0" applyFont="1" applyFill="1" applyBorder="1"/>
    <xf numFmtId="0" fontId="11" fillId="13" borderId="29" xfId="0" applyFont="1" applyFill="1" applyBorder="1" applyAlignment="1">
      <alignment horizontal="left" indent="1"/>
    </xf>
    <xf numFmtId="0" fontId="11" fillId="3" borderId="29" xfId="0" applyFont="1" applyFill="1" applyBorder="1" applyAlignment="1">
      <alignment horizontal="left" indent="1"/>
    </xf>
    <xf numFmtId="0" fontId="26" fillId="3" borderId="29" xfId="0" applyFont="1" applyFill="1" applyBorder="1" applyAlignment="1">
      <alignment horizontal="left" indent="3"/>
    </xf>
    <xf numFmtId="0" fontId="26" fillId="3" borderId="29" xfId="0" applyFont="1" applyFill="1" applyBorder="1" applyAlignment="1">
      <alignment horizontal="left" indent="1"/>
    </xf>
    <xf numFmtId="0" fontId="11" fillId="3" borderId="28" xfId="0" applyFont="1" applyFill="1" applyBorder="1" applyAlignment="1">
      <alignment horizontal="left" indent="1"/>
    </xf>
    <xf numFmtId="0" fontId="21" fillId="2" borderId="23" xfId="0" applyFont="1" applyFill="1" applyBorder="1"/>
    <xf numFmtId="169" fontId="21" fillId="2" borderId="24" xfId="0" applyNumberFormat="1" applyFont="1" applyFill="1" applyBorder="1"/>
    <xf numFmtId="169" fontId="21" fillId="2" borderId="25" xfId="0" applyNumberFormat="1" applyFont="1" applyFill="1" applyBorder="1"/>
    <xf numFmtId="3" fontId="30" fillId="14" borderId="0" xfId="0" applyNumberFormat="1" applyFont="1" applyFill="1"/>
    <xf numFmtId="3" fontId="30" fillId="3" borderId="0" xfId="0" applyNumberFormat="1" applyFont="1" applyFill="1"/>
    <xf numFmtId="3" fontId="10" fillId="3" borderId="19" xfId="0" applyNumberFormat="1" applyFont="1" applyFill="1" applyBorder="1"/>
    <xf numFmtId="3" fontId="30" fillId="3" borderId="21" xfId="0" applyNumberFormat="1" applyFont="1" applyFill="1" applyBorder="1"/>
    <xf numFmtId="3" fontId="30" fillId="3" borderId="33" xfId="0" applyNumberFormat="1" applyFont="1" applyFill="1" applyBorder="1"/>
    <xf numFmtId="3" fontId="10" fillId="3" borderId="21" xfId="0" applyNumberFormat="1" applyFont="1" applyFill="1" applyBorder="1"/>
    <xf numFmtId="3" fontId="10" fillId="3" borderId="22" xfId="0" applyNumberFormat="1" applyFont="1" applyFill="1" applyBorder="1"/>
    <xf numFmtId="169" fontId="21" fillId="2" borderId="35" xfId="0" applyNumberFormat="1" applyFont="1" applyFill="1" applyBorder="1"/>
    <xf numFmtId="0" fontId="26" fillId="3" borderId="29" xfId="0" applyFont="1" applyFill="1" applyBorder="1"/>
    <xf numFmtId="0" fontId="10" fillId="3" borderId="29" xfId="0" applyFont="1" applyFill="1" applyBorder="1"/>
    <xf numFmtId="0" fontId="10" fillId="3" borderId="28" xfId="0" applyFont="1" applyFill="1" applyBorder="1"/>
    <xf numFmtId="3" fontId="33" fillId="3" borderId="34" xfId="0" applyNumberFormat="1" applyFont="1" applyFill="1" applyBorder="1"/>
    <xf numFmtId="172" fontId="11" fillId="3" borderId="16" xfId="0" applyNumberFormat="1" applyFont="1" applyFill="1" applyBorder="1"/>
    <xf numFmtId="172" fontId="11" fillId="3" borderId="17" xfId="0" applyNumberFormat="1" applyFont="1" applyFill="1" applyBorder="1"/>
    <xf numFmtId="172" fontId="10" fillId="3" borderId="21" xfId="0" applyNumberFormat="1" applyFont="1" applyFill="1" applyBorder="1"/>
    <xf numFmtId="172" fontId="10" fillId="3" borderId="22" xfId="0" applyNumberFormat="1" applyFont="1" applyFill="1" applyBorder="1"/>
    <xf numFmtId="172" fontId="11" fillId="14" borderId="0" xfId="0" applyNumberFormat="1" applyFont="1" applyFill="1"/>
    <xf numFmtId="168" fontId="11" fillId="14" borderId="16" xfId="0" applyNumberFormat="1" applyFont="1" applyFill="1" applyBorder="1" applyAlignment="1">
      <alignment horizontal="right" vertical="center"/>
    </xf>
    <xf numFmtId="168" fontId="11" fillId="14" borderId="17" xfId="0" applyNumberFormat="1" applyFont="1" applyFill="1" applyBorder="1" applyAlignment="1">
      <alignment horizontal="right" vertical="center"/>
    </xf>
    <xf numFmtId="168" fontId="11" fillId="14" borderId="21" xfId="0" applyNumberFormat="1" applyFont="1" applyFill="1" applyBorder="1" applyAlignment="1">
      <alignment horizontal="right" vertical="center"/>
    </xf>
    <xf numFmtId="168" fontId="11" fillId="14" borderId="22" xfId="0" applyNumberFormat="1" applyFont="1" applyFill="1" applyBorder="1" applyAlignment="1">
      <alignment horizontal="right" vertical="center"/>
    </xf>
    <xf numFmtId="0" fontId="43" fillId="3" borderId="0" xfId="0" applyFont="1" applyFill="1" applyAlignment="1">
      <alignment horizontal="left" vertical="center" wrapText="1"/>
    </xf>
    <xf numFmtId="3" fontId="43" fillId="14" borderId="0" xfId="0" applyNumberFormat="1" applyFont="1" applyFill="1" applyAlignment="1">
      <alignment vertical="center"/>
    </xf>
    <xf numFmtId="3" fontId="43" fillId="3" borderId="0" xfId="0" applyNumberFormat="1" applyFont="1" applyFill="1" applyAlignment="1">
      <alignment vertical="center"/>
    </xf>
    <xf numFmtId="0" fontId="43" fillId="3" borderId="0" xfId="0" applyFont="1" applyFill="1" applyAlignment="1">
      <alignment vertical="center"/>
    </xf>
    <xf numFmtId="0" fontId="44" fillId="3" borderId="0" xfId="0" applyFont="1" applyFill="1" applyAlignment="1">
      <alignment horizontal="left" vertical="center" wrapText="1"/>
    </xf>
    <xf numFmtId="0" fontId="44" fillId="3" borderId="0" xfId="0" applyFont="1" applyFill="1" applyAlignment="1">
      <alignment vertical="center"/>
    </xf>
    <xf numFmtId="3" fontId="44" fillId="3" borderId="0" xfId="0" applyNumberFormat="1" applyFont="1" applyFill="1" applyAlignment="1">
      <alignment vertical="center"/>
    </xf>
    <xf numFmtId="0" fontId="45" fillId="3" borderId="0" xfId="0" applyFont="1" applyFill="1" applyAlignment="1">
      <alignment vertical="center"/>
    </xf>
    <xf numFmtId="0" fontId="46" fillId="3" borderId="0" xfId="0" applyFont="1" applyFill="1" applyAlignment="1">
      <alignment horizontal="left" vertical="center" wrapText="1"/>
    </xf>
    <xf numFmtId="3" fontId="46" fillId="14" borderId="0" xfId="0" applyNumberFormat="1" applyFont="1" applyFill="1" applyAlignment="1">
      <alignment vertical="center"/>
    </xf>
    <xf numFmtId="3" fontId="46" fillId="3" borderId="0" xfId="0" applyNumberFormat="1" applyFont="1" applyFill="1" applyAlignment="1">
      <alignment vertical="center"/>
    </xf>
    <xf numFmtId="0" fontId="46" fillId="3" borderId="0" xfId="0" applyFont="1" applyFill="1" applyAlignment="1">
      <alignment vertical="center"/>
    </xf>
    <xf numFmtId="0" fontId="45" fillId="3" borderId="0" xfId="0" applyFont="1" applyFill="1" applyAlignment="1">
      <alignment horizontal="left" vertical="center" wrapText="1"/>
    </xf>
    <xf numFmtId="3" fontId="11" fillId="24" borderId="0" xfId="0" applyNumberFormat="1" applyFont="1" applyFill="1" applyAlignment="1">
      <alignment vertical="center"/>
    </xf>
    <xf numFmtId="3" fontId="11" fillId="14" borderId="16" xfId="0" applyNumberFormat="1" applyFont="1" applyFill="1" applyBorder="1" applyAlignment="1">
      <alignment vertical="center"/>
    </xf>
    <xf numFmtId="0" fontId="47" fillId="3" borderId="29" xfId="0" applyFont="1" applyFill="1" applyBorder="1"/>
    <xf numFmtId="172" fontId="47" fillId="3" borderId="0" xfId="0" applyNumberFormat="1" applyFont="1" applyFill="1"/>
    <xf numFmtId="172" fontId="47" fillId="3" borderId="19" xfId="0" applyNumberFormat="1" applyFont="1" applyFill="1" applyBorder="1"/>
    <xf numFmtId="0" fontId="47" fillId="3" borderId="0" xfId="0" applyFont="1" applyFill="1"/>
    <xf numFmtId="3" fontId="22" fillId="14" borderId="0" xfId="0" applyNumberFormat="1" applyFont="1" applyFill="1"/>
    <xf numFmtId="3" fontId="22" fillId="14" borderId="19" xfId="0" applyNumberFormat="1" applyFont="1" applyFill="1" applyBorder="1"/>
    <xf numFmtId="164" fontId="27" fillId="14" borderId="21" xfId="0" applyNumberFormat="1" applyFont="1" applyFill="1" applyBorder="1"/>
    <xf numFmtId="164" fontId="27" fillId="14" borderId="22" xfId="0" applyNumberFormat="1" applyFont="1" applyFill="1" applyBorder="1"/>
    <xf numFmtId="164" fontId="22" fillId="14" borderId="0" xfId="0" applyNumberFormat="1" applyFont="1" applyFill="1"/>
    <xf numFmtId="169" fontId="21" fillId="2" borderId="36" xfId="0" applyNumberFormat="1" applyFont="1" applyFill="1" applyBorder="1"/>
    <xf numFmtId="3" fontId="10" fillId="12" borderId="37" xfId="0" applyNumberFormat="1" applyFont="1" applyFill="1" applyBorder="1"/>
    <xf numFmtId="3" fontId="11" fillId="13" borderId="37" xfId="0" applyNumberFormat="1" applyFont="1" applyFill="1" applyBorder="1"/>
    <xf numFmtId="3" fontId="11" fillId="3" borderId="37" xfId="0" applyNumberFormat="1" applyFont="1" applyFill="1" applyBorder="1"/>
    <xf numFmtId="3" fontId="26" fillId="3" borderId="37" xfId="0" applyNumberFormat="1" applyFont="1" applyFill="1" applyBorder="1"/>
    <xf numFmtId="3" fontId="11" fillId="14" borderId="37" xfId="0" applyNumberFormat="1" applyFont="1" applyFill="1" applyBorder="1"/>
    <xf numFmtId="3" fontId="11" fillId="3" borderId="38" xfId="0" applyNumberFormat="1" applyFont="1" applyFill="1" applyBorder="1"/>
    <xf numFmtId="3" fontId="10" fillId="3" borderId="33" xfId="0" applyNumberFormat="1" applyFont="1" applyFill="1" applyBorder="1"/>
    <xf numFmtId="0" fontId="12" fillId="33" borderId="0" xfId="0" applyFont="1" applyFill="1" applyAlignment="1">
      <alignment horizontal="left" vertical="top" wrapText="1"/>
    </xf>
    <xf numFmtId="0" fontId="12" fillId="33" borderId="0" xfId="0" applyFont="1" applyFill="1" applyAlignment="1">
      <alignment vertical="top" wrapText="1"/>
    </xf>
    <xf numFmtId="0" fontId="50" fillId="3" borderId="0" xfId="0" applyFont="1" applyFill="1" applyAlignment="1">
      <alignment horizontal="left" vertical="center" wrapText="1"/>
    </xf>
    <xf numFmtId="0" fontId="50" fillId="3" borderId="0" xfId="0" applyFont="1" applyFill="1" applyAlignment="1">
      <alignment vertical="center" wrapText="1"/>
    </xf>
    <xf numFmtId="3" fontId="54" fillId="3" borderId="0" xfId="0" applyNumberFormat="1" applyFont="1" applyFill="1" applyAlignment="1">
      <alignment vertical="center"/>
    </xf>
    <xf numFmtId="3" fontId="54" fillId="3" borderId="19" xfId="0" applyNumberFormat="1" applyFont="1" applyFill="1" applyBorder="1" applyAlignment="1">
      <alignment vertical="center"/>
    </xf>
    <xf numFmtId="3" fontId="11" fillId="3" borderId="0" xfId="2" applyNumberFormat="1" applyFont="1" applyFill="1"/>
    <xf numFmtId="3" fontId="10" fillId="3" borderId="0" xfId="2" applyNumberFormat="1" applyFont="1" applyFill="1"/>
    <xf numFmtId="168" fontId="10" fillId="3" borderId="0" xfId="0" applyNumberFormat="1" applyFont="1" applyFill="1" applyAlignment="1">
      <alignment horizontal="right"/>
    </xf>
    <xf numFmtId="180" fontId="11" fillId="3" borderId="0" xfId="0" applyNumberFormat="1" applyFont="1" applyFill="1" applyAlignment="1">
      <alignment horizontal="right"/>
    </xf>
    <xf numFmtId="0" fontId="11" fillId="3" borderId="0" xfId="0" applyFont="1" applyFill="1" applyAlignment="1">
      <alignment horizontal="right"/>
    </xf>
    <xf numFmtId="168" fontId="11" fillId="3" borderId="0" xfId="2" applyNumberFormat="1" applyFont="1" applyFill="1" applyAlignment="1">
      <alignment horizontal="right"/>
    </xf>
    <xf numFmtId="168" fontId="10" fillId="3" borderId="0" xfId="2" applyNumberFormat="1" applyFont="1" applyFill="1" applyAlignment="1">
      <alignment horizontal="right"/>
    </xf>
    <xf numFmtId="10" fontId="11" fillId="3" borderId="0" xfId="2" applyNumberFormat="1" applyFont="1" applyFill="1" applyAlignment="1">
      <alignment horizontal="right"/>
    </xf>
    <xf numFmtId="0" fontId="10" fillId="3" borderId="0" xfId="0" applyFont="1" applyFill="1" applyAlignment="1">
      <alignment horizontal="right"/>
    </xf>
    <xf numFmtId="183" fontId="11" fillId="3" borderId="0" xfId="0" applyNumberFormat="1" applyFont="1" applyFill="1" applyAlignment="1">
      <alignment vertical="center"/>
    </xf>
    <xf numFmtId="0" fontId="26" fillId="3" borderId="0" xfId="0" applyFont="1" applyFill="1" applyAlignment="1">
      <alignment horizontal="left" vertical="center"/>
    </xf>
    <xf numFmtId="4" fontId="10" fillId="3" borderId="0" xfId="0" applyNumberFormat="1" applyFont="1" applyFill="1"/>
    <xf numFmtId="182" fontId="11" fillId="3" borderId="0" xfId="2" applyNumberFormat="1" applyFont="1" applyFill="1"/>
    <xf numFmtId="4" fontId="43" fillId="14" borderId="0" xfId="0" applyNumberFormat="1" applyFont="1" applyFill="1" applyAlignment="1">
      <alignment vertical="center"/>
    </xf>
    <xf numFmtId="4" fontId="43" fillId="3" borderId="0" xfId="0" applyNumberFormat="1" applyFont="1" applyFill="1" applyAlignment="1">
      <alignment vertical="center"/>
    </xf>
    <xf numFmtId="4" fontId="46" fillId="14" borderId="0" xfId="0" applyNumberFormat="1" applyFont="1" applyFill="1" applyAlignment="1">
      <alignment vertical="center"/>
    </xf>
    <xf numFmtId="3" fontId="11" fillId="14" borderId="21" xfId="0" applyNumberFormat="1" applyFont="1" applyFill="1" applyBorder="1" applyAlignment="1">
      <alignment vertical="center"/>
    </xf>
    <xf numFmtId="3" fontId="22" fillId="3" borderId="19" xfId="0" applyNumberFormat="1" applyFont="1" applyFill="1" applyBorder="1" applyAlignment="1">
      <alignment vertical="center"/>
    </xf>
    <xf numFmtId="3" fontId="27" fillId="14" borderId="0" xfId="0" applyNumberFormat="1" applyFont="1" applyFill="1" applyAlignment="1">
      <alignment vertical="center"/>
    </xf>
    <xf numFmtId="3" fontId="27" fillId="14" borderId="19" xfId="0" applyNumberFormat="1" applyFont="1" applyFill="1" applyBorder="1" applyAlignment="1">
      <alignment vertical="center"/>
    </xf>
    <xf numFmtId="3" fontId="22" fillId="14" borderId="0" xfId="0" applyNumberFormat="1" applyFont="1" applyFill="1" applyAlignment="1">
      <alignment vertical="center"/>
    </xf>
    <xf numFmtId="3" fontId="22" fillId="14" borderId="19" xfId="0" applyNumberFormat="1" applyFont="1" applyFill="1" applyBorder="1" applyAlignment="1">
      <alignment vertical="center"/>
    </xf>
    <xf numFmtId="3" fontId="22" fillId="14" borderId="21" xfId="0" applyNumberFormat="1" applyFont="1" applyFill="1" applyBorder="1" applyAlignment="1">
      <alignment vertical="center"/>
    </xf>
    <xf numFmtId="3" fontId="22" fillId="14" borderId="22" xfId="0" applyNumberFormat="1" applyFont="1" applyFill="1" applyBorder="1" applyAlignment="1">
      <alignment vertical="center"/>
    </xf>
    <xf numFmtId="3" fontId="27" fillId="13" borderId="16" xfId="0" applyNumberFormat="1" applyFont="1" applyFill="1" applyBorder="1" applyAlignment="1">
      <alignment vertical="center"/>
    </xf>
    <xf numFmtId="3" fontId="27" fillId="13" borderId="17" xfId="0" applyNumberFormat="1" applyFont="1" applyFill="1" applyBorder="1" applyAlignment="1">
      <alignment vertical="center"/>
    </xf>
    <xf numFmtId="3" fontId="27" fillId="3" borderId="0" xfId="0" applyNumberFormat="1" applyFont="1" applyFill="1" applyAlignment="1">
      <alignment vertical="center"/>
    </xf>
    <xf numFmtId="3" fontId="27" fillId="3" borderId="19" xfId="0" applyNumberFormat="1" applyFont="1" applyFill="1" applyBorder="1" applyAlignment="1">
      <alignment vertical="center"/>
    </xf>
    <xf numFmtId="3" fontId="27" fillId="3" borderId="16" xfId="0" applyNumberFormat="1" applyFont="1" applyFill="1" applyBorder="1" applyAlignment="1">
      <alignment vertical="center"/>
    </xf>
    <xf numFmtId="3" fontId="27" fillId="3" borderId="17" xfId="0" applyNumberFormat="1" applyFont="1" applyFill="1" applyBorder="1" applyAlignment="1">
      <alignment vertical="center"/>
    </xf>
    <xf numFmtId="172" fontId="11" fillId="14" borderId="19" xfId="0" applyNumberFormat="1" applyFont="1" applyFill="1" applyBorder="1"/>
    <xf numFmtId="172" fontId="44" fillId="3" borderId="0" xfId="0" applyNumberFormat="1" applyFont="1" applyFill="1" applyAlignment="1">
      <alignment vertical="center"/>
    </xf>
    <xf numFmtId="172" fontId="45" fillId="3" borderId="0" xfId="0" applyNumberFormat="1" applyFont="1" applyFill="1" applyAlignment="1">
      <alignment vertical="center"/>
    </xf>
    <xf numFmtId="0" fontId="21" fillId="34" borderId="39" xfId="0" applyFont="1" applyFill="1" applyBorder="1" applyAlignment="1">
      <alignment horizontal="center" vertical="center" wrapText="1"/>
    </xf>
    <xf numFmtId="0" fontId="56" fillId="3" borderId="40" xfId="0" applyFont="1" applyFill="1" applyBorder="1"/>
    <xf numFmtId="0" fontId="11" fillId="3" borderId="40" xfId="0" applyFont="1" applyFill="1" applyBorder="1" applyAlignment="1">
      <alignment horizontal="left" indent="1"/>
    </xf>
    <xf numFmtId="0" fontId="11" fillId="3" borderId="41" xfId="0" applyFont="1" applyFill="1" applyBorder="1" applyAlignment="1">
      <alignment horizontal="left" indent="1"/>
    </xf>
    <xf numFmtId="0" fontId="56" fillId="3" borderId="39" xfId="0" applyFont="1" applyFill="1" applyBorder="1" applyAlignment="1">
      <alignment wrapText="1"/>
    </xf>
    <xf numFmtId="0" fontId="10" fillId="3" borderId="40" xfId="0" applyFont="1" applyFill="1" applyBorder="1" applyAlignment="1">
      <alignment horizontal="left" indent="1"/>
    </xf>
    <xf numFmtId="0" fontId="11" fillId="3" borderId="29" xfId="0" applyFont="1" applyFill="1" applyBorder="1" applyAlignment="1">
      <alignment horizontal="left" vertical="center"/>
    </xf>
    <xf numFmtId="0" fontId="11" fillId="3" borderId="28" xfId="0" applyFont="1" applyFill="1" applyBorder="1" applyAlignment="1">
      <alignment horizontal="left" vertical="center"/>
    </xf>
    <xf numFmtId="0" fontId="21" fillId="15" borderId="23" xfId="0" applyFont="1" applyFill="1" applyBorder="1"/>
    <xf numFmtId="0" fontId="11" fillId="14" borderId="29" xfId="0" applyFont="1" applyFill="1" applyBorder="1" applyAlignment="1">
      <alignment horizontal="left" vertical="center"/>
    </xf>
    <xf numFmtId="0" fontId="11" fillId="14" borderId="27" xfId="0" applyFont="1" applyFill="1" applyBorder="1" applyAlignment="1">
      <alignment horizontal="left" vertical="center"/>
    </xf>
    <xf numFmtId="0" fontId="26" fillId="14" borderId="29" xfId="0" applyFont="1" applyFill="1" applyBorder="1" applyAlignment="1">
      <alignment horizontal="left" vertical="center"/>
    </xf>
    <xf numFmtId="0" fontId="11" fillId="14" borderId="29" xfId="0" applyFont="1" applyFill="1" applyBorder="1" applyAlignment="1">
      <alignment horizontal="left" vertical="center" indent="1"/>
    </xf>
    <xf numFmtId="0" fontId="11" fillId="14" borderId="28" xfId="0" applyFont="1" applyFill="1" applyBorder="1" applyAlignment="1">
      <alignment horizontal="left" vertical="center" indent="1"/>
    </xf>
    <xf numFmtId="172" fontId="10" fillId="27" borderId="44" xfId="0" applyNumberFormat="1" applyFont="1" applyFill="1" applyBorder="1" applyAlignment="1">
      <alignment vertical="center"/>
    </xf>
    <xf numFmtId="172" fontId="10" fillId="27" borderId="45" xfId="0" applyNumberFormat="1" applyFont="1" applyFill="1" applyBorder="1" applyAlignment="1">
      <alignment vertical="center"/>
    </xf>
    <xf numFmtId="172" fontId="56" fillId="3" borderId="46" xfId="0" applyNumberFormat="1" applyFont="1" applyFill="1" applyBorder="1" applyAlignment="1">
      <alignment horizontal="right" vertical="center"/>
    </xf>
    <xf numFmtId="172" fontId="56" fillId="3" borderId="0" xfId="0" applyNumberFormat="1" applyFont="1" applyFill="1" applyAlignment="1">
      <alignment horizontal="right" vertical="center"/>
    </xf>
    <xf numFmtId="172" fontId="56" fillId="3" borderId="47" xfId="0" applyNumberFormat="1" applyFont="1" applyFill="1" applyBorder="1" applyAlignment="1">
      <alignment horizontal="right" vertical="center"/>
    </xf>
    <xf numFmtId="172" fontId="11" fillId="3" borderId="46" xfId="0" applyNumberFormat="1" applyFont="1" applyFill="1" applyBorder="1" applyAlignment="1">
      <alignment horizontal="right" vertical="center"/>
    </xf>
    <xf numFmtId="172" fontId="11" fillId="23" borderId="0" xfId="0" applyNumberFormat="1" applyFont="1" applyFill="1" applyAlignment="1">
      <alignment horizontal="right" vertical="center"/>
    </xf>
    <xf numFmtId="172" fontId="11" fillId="23" borderId="47" xfId="0" applyNumberFormat="1" applyFont="1" applyFill="1" applyBorder="1" applyAlignment="1">
      <alignment horizontal="right" vertical="center"/>
    </xf>
    <xf numFmtId="172" fontId="11" fillId="3" borderId="48" xfId="0" applyNumberFormat="1" applyFont="1" applyFill="1" applyBorder="1" applyAlignment="1">
      <alignment horizontal="right" vertical="center"/>
    </xf>
    <xf numFmtId="172" fontId="11" fillId="23" borderId="49" xfId="0" applyNumberFormat="1" applyFont="1" applyFill="1" applyBorder="1" applyAlignment="1">
      <alignment horizontal="right" vertical="center"/>
    </xf>
    <xf numFmtId="172" fontId="11" fillId="23" borderId="50" xfId="0" applyNumberFormat="1" applyFont="1" applyFill="1" applyBorder="1" applyAlignment="1">
      <alignment horizontal="right" vertical="center"/>
    </xf>
    <xf numFmtId="172" fontId="56" fillId="3" borderId="51" xfId="0" applyNumberFormat="1" applyFont="1" applyFill="1" applyBorder="1" applyAlignment="1">
      <alignment horizontal="right" vertical="center"/>
    </xf>
    <xf numFmtId="172" fontId="56" fillId="3" borderId="52" xfId="0" applyNumberFormat="1" applyFont="1" applyFill="1" applyBorder="1" applyAlignment="1">
      <alignment horizontal="right" vertical="center"/>
    </xf>
    <xf numFmtId="172" fontId="56" fillId="3" borderId="53" xfId="0" applyNumberFormat="1" applyFont="1" applyFill="1" applyBorder="1" applyAlignment="1">
      <alignment horizontal="right" vertical="center"/>
    </xf>
    <xf numFmtId="172" fontId="10" fillId="35" borderId="46" xfId="0" applyNumberFormat="1" applyFont="1" applyFill="1" applyBorder="1" applyAlignment="1">
      <alignment vertical="center"/>
    </xf>
    <xf numFmtId="172" fontId="10" fillId="35" borderId="0" xfId="0" applyNumberFormat="1" applyFont="1" applyFill="1" applyAlignment="1">
      <alignment vertical="center"/>
    </xf>
    <xf numFmtId="172" fontId="10" fillId="35" borderId="0" xfId="0" applyNumberFormat="1" applyFont="1" applyFill="1"/>
    <xf numFmtId="172" fontId="10" fillId="3" borderId="0" xfId="0" applyNumberFormat="1" applyFont="1" applyFill="1" applyAlignment="1">
      <alignment vertical="center"/>
    </xf>
    <xf numFmtId="172" fontId="10" fillId="3" borderId="47" xfId="0" applyNumberFormat="1" applyFont="1" applyFill="1" applyBorder="1" applyAlignment="1">
      <alignment vertical="center"/>
    </xf>
    <xf numFmtId="0" fontId="10" fillId="3" borderId="42" xfId="0" applyFont="1" applyFill="1" applyBorder="1" applyAlignment="1">
      <alignment horizontal="left" indent="1"/>
    </xf>
    <xf numFmtId="0" fontId="21" fillId="34" borderId="51" xfId="0" applyFont="1" applyFill="1" applyBorder="1" applyAlignment="1">
      <alignment horizontal="center" vertical="center" wrapText="1"/>
    </xf>
    <xf numFmtId="0" fontId="21" fillId="34" borderId="52" xfId="0" applyFont="1" applyFill="1" applyBorder="1" applyAlignment="1">
      <alignment horizontal="center" vertical="center" wrapText="1"/>
    </xf>
    <xf numFmtId="0" fontId="21" fillId="34" borderId="53" xfId="0" applyFont="1" applyFill="1" applyBorder="1" applyAlignment="1">
      <alignment horizontal="center" vertical="center" wrapText="1"/>
    </xf>
    <xf numFmtId="172" fontId="10" fillId="35" borderId="43" xfId="0" applyNumberFormat="1" applyFont="1" applyFill="1" applyBorder="1" applyAlignment="1">
      <alignment vertical="center"/>
    </xf>
    <xf numFmtId="172" fontId="10" fillId="35" borderId="44" xfId="0" applyNumberFormat="1" applyFont="1" applyFill="1" applyBorder="1" applyAlignment="1">
      <alignment vertical="center"/>
    </xf>
    <xf numFmtId="172" fontId="10" fillId="35" borderId="44" xfId="0" applyNumberFormat="1" applyFont="1" applyFill="1" applyBorder="1"/>
    <xf numFmtId="172" fontId="10" fillId="35" borderId="45" xfId="0" applyNumberFormat="1" applyFont="1" applyFill="1" applyBorder="1" applyAlignment="1">
      <alignment vertical="center"/>
    </xf>
    <xf numFmtId="0" fontId="41" fillId="14" borderId="0" xfId="0" applyFont="1" applyFill="1"/>
    <xf numFmtId="0" fontId="16" fillId="14" borderId="0" xfId="0" applyFont="1" applyFill="1" applyAlignment="1">
      <alignment vertical="center"/>
    </xf>
    <xf numFmtId="0" fontId="59" fillId="21" borderId="54" xfId="0" applyFont="1" applyFill="1" applyBorder="1" applyAlignment="1">
      <alignment horizontal="center" vertical="center"/>
    </xf>
    <xf numFmtId="0" fontId="55" fillId="21" borderId="54" xfId="8" applyFont="1" applyFill="1" applyBorder="1" applyAlignment="1">
      <alignment horizontal="center" vertical="center" wrapText="1"/>
    </xf>
    <xf numFmtId="0" fontId="49" fillId="3" borderId="0" xfId="0" applyFont="1" applyFill="1" applyAlignment="1">
      <alignment vertical="top"/>
    </xf>
    <xf numFmtId="0" fontId="49" fillId="3" borderId="0" xfId="0" applyFont="1" applyFill="1" applyAlignment="1">
      <alignment vertical="center"/>
    </xf>
    <xf numFmtId="0" fontId="60" fillId="3" borderId="0" xfId="8" applyFont="1" applyFill="1"/>
    <xf numFmtId="0" fontId="61" fillId="3" borderId="0" xfId="0" applyFont="1" applyFill="1" applyAlignment="1">
      <alignment vertical="center"/>
    </xf>
    <xf numFmtId="0" fontId="12" fillId="14" borderId="0" xfId="0" applyFont="1" applyFill="1" applyAlignment="1">
      <alignment vertical="center"/>
    </xf>
    <xf numFmtId="0" fontId="11" fillId="21" borderId="0" xfId="0" applyFont="1" applyFill="1"/>
    <xf numFmtId="3" fontId="26" fillId="21" borderId="0" xfId="0" applyNumberFormat="1" applyFont="1" applyFill="1"/>
    <xf numFmtId="0" fontId="68" fillId="3" borderId="0" xfId="0" applyFont="1" applyFill="1"/>
    <xf numFmtId="0" fontId="67" fillId="3" borderId="0" xfId="0" applyFont="1" applyFill="1"/>
    <xf numFmtId="0" fontId="57" fillId="3" borderId="0" xfId="0" applyFont="1" applyFill="1"/>
    <xf numFmtId="0" fontId="58" fillId="3" borderId="0" xfId="0" applyFont="1" applyFill="1"/>
    <xf numFmtId="0" fontId="11" fillId="3" borderId="0" xfId="0" applyFont="1" applyFill="1" applyAlignment="1">
      <alignment vertical="top" wrapText="1"/>
    </xf>
    <xf numFmtId="0" fontId="11" fillId="21" borderId="29" xfId="0" applyFont="1" applyFill="1" applyBorder="1" applyAlignment="1">
      <alignment horizontal="left" vertical="center"/>
    </xf>
    <xf numFmtId="180" fontId="11" fillId="21" borderId="0" xfId="0" applyNumberFormat="1" applyFont="1" applyFill="1"/>
    <xf numFmtId="180" fontId="11" fillId="21" borderId="21" xfId="0" applyNumberFormat="1" applyFont="1" applyFill="1" applyBorder="1"/>
    <xf numFmtId="172" fontId="11" fillId="21" borderId="0" xfId="0" applyNumberFormat="1" applyFont="1" applyFill="1"/>
    <xf numFmtId="172" fontId="11" fillId="21" borderId="19" xfId="0" applyNumberFormat="1" applyFont="1" applyFill="1" applyBorder="1"/>
    <xf numFmtId="172" fontId="11" fillId="21" borderId="21" xfId="0" applyNumberFormat="1" applyFont="1" applyFill="1" applyBorder="1"/>
    <xf numFmtId="172" fontId="11" fillId="21" borderId="22" xfId="0" applyNumberFormat="1" applyFont="1" applyFill="1" applyBorder="1"/>
    <xf numFmtId="0" fontId="22" fillId="21" borderId="54" xfId="0" applyFont="1" applyFill="1" applyBorder="1" applyAlignment="1">
      <alignment horizontal="center" vertical="center"/>
    </xf>
    <xf numFmtId="0" fontId="20" fillId="21" borderId="54" xfId="8" applyFont="1" applyFill="1" applyBorder="1" applyAlignment="1">
      <alignment horizontal="center" vertical="center" wrapText="1"/>
    </xf>
    <xf numFmtId="0" fontId="41" fillId="3" borderId="0" xfId="0" applyFont="1" applyFill="1" applyAlignment="1">
      <alignment vertical="top"/>
    </xf>
    <xf numFmtId="0" fontId="10" fillId="13" borderId="56" xfId="0" applyFont="1" applyFill="1" applyBorder="1" applyAlignment="1">
      <alignment horizontal="left" vertical="center" wrapText="1"/>
    </xf>
    <xf numFmtId="0" fontId="17" fillId="3" borderId="0" xfId="0" applyFont="1" applyFill="1"/>
    <xf numFmtId="172" fontId="11" fillId="13" borderId="56" xfId="0" applyNumberFormat="1" applyFont="1" applyFill="1" applyBorder="1" applyAlignment="1">
      <alignment horizontal="right" vertical="center"/>
    </xf>
    <xf numFmtId="0" fontId="10" fillId="21" borderId="0" xfId="0" applyFont="1" applyFill="1"/>
    <xf numFmtId="0" fontId="35" fillId="21" borderId="0" xfId="0" applyFont="1" applyFill="1"/>
    <xf numFmtId="0" fontId="55" fillId="21" borderId="0" xfId="8" applyFont="1" applyFill="1"/>
    <xf numFmtId="0" fontId="11" fillId="3" borderId="0" xfId="0" applyFont="1" applyFill="1" applyAlignment="1">
      <alignment vertical="top"/>
    </xf>
    <xf numFmtId="3" fontId="10" fillId="23" borderId="0" xfId="0" applyNumberFormat="1" applyFont="1" applyFill="1"/>
    <xf numFmtId="0" fontId="70" fillId="14" borderId="0" xfId="0" applyFont="1" applyFill="1"/>
    <xf numFmtId="0" fontId="72" fillId="21" borderId="54" xfId="8" applyFont="1" applyFill="1" applyBorder="1" applyAlignment="1">
      <alignment horizontal="center" vertical="center" wrapText="1"/>
    </xf>
    <xf numFmtId="9" fontId="11" fillId="3" borderId="0" xfId="0" applyNumberFormat="1" applyFont="1" applyFill="1" applyAlignment="1">
      <alignment vertical="center"/>
    </xf>
    <xf numFmtId="0" fontId="52" fillId="3" borderId="0" xfId="0" applyFont="1" applyFill="1" applyAlignment="1">
      <alignment vertical="center"/>
    </xf>
    <xf numFmtId="0" fontId="12" fillId="3" borderId="0" xfId="0" applyFont="1" applyFill="1" applyAlignment="1">
      <alignment vertical="center"/>
    </xf>
    <xf numFmtId="0" fontId="21" fillId="28" borderId="3" xfId="0" applyFont="1" applyFill="1" applyBorder="1" applyAlignment="1">
      <alignment vertical="center"/>
    </xf>
    <xf numFmtId="3" fontId="11" fillId="14" borderId="16" xfId="2" applyNumberFormat="1" applyFont="1" applyFill="1" applyBorder="1" applyAlignment="1">
      <alignment vertical="center"/>
    </xf>
    <xf numFmtId="3" fontId="11" fillId="14" borderId="17" xfId="2" applyNumberFormat="1" applyFont="1" applyFill="1" applyBorder="1" applyAlignment="1">
      <alignment vertical="center"/>
    </xf>
    <xf numFmtId="168" fontId="33" fillId="14" borderId="21" xfId="2" applyNumberFormat="1" applyFont="1" applyFill="1" applyBorder="1" applyAlignment="1">
      <alignment vertical="center"/>
    </xf>
    <xf numFmtId="168" fontId="11" fillId="23" borderId="21" xfId="2" applyNumberFormat="1" applyFont="1" applyFill="1" applyBorder="1" applyAlignment="1">
      <alignment vertical="center"/>
    </xf>
    <xf numFmtId="168" fontId="11" fillId="23" borderId="22" xfId="2" applyNumberFormat="1" applyFont="1" applyFill="1" applyBorder="1" applyAlignment="1">
      <alignment vertical="center"/>
    </xf>
    <xf numFmtId="168" fontId="33" fillId="14" borderId="24" xfId="2" applyNumberFormat="1" applyFont="1" applyFill="1" applyBorder="1" applyAlignment="1">
      <alignment vertical="center"/>
    </xf>
    <xf numFmtId="168" fontId="11" fillId="23" borderId="24" xfId="2" applyNumberFormat="1" applyFont="1" applyFill="1" applyBorder="1" applyAlignment="1">
      <alignment vertical="center"/>
    </xf>
    <xf numFmtId="168" fontId="11" fillId="23" borderId="25" xfId="2" applyNumberFormat="1" applyFont="1" applyFill="1" applyBorder="1" applyAlignment="1">
      <alignment vertical="center"/>
    </xf>
    <xf numFmtId="180" fontId="33" fillId="14" borderId="24" xfId="0" applyNumberFormat="1" applyFont="1" applyFill="1" applyBorder="1" applyAlignment="1">
      <alignment vertical="center"/>
    </xf>
    <xf numFmtId="168" fontId="33" fillId="14" borderId="0" xfId="0" applyNumberFormat="1" applyFont="1" applyFill="1" applyAlignment="1">
      <alignment vertical="center"/>
    </xf>
    <xf numFmtId="9" fontId="11" fillId="3" borderId="0" xfId="2" applyFont="1" applyFill="1" applyBorder="1" applyAlignment="1">
      <alignment vertical="center"/>
    </xf>
    <xf numFmtId="9" fontId="11" fillId="3" borderId="19" xfId="2" applyFont="1" applyFill="1" applyBorder="1" applyAlignment="1">
      <alignment vertical="center"/>
    </xf>
    <xf numFmtId="9" fontId="11" fillId="3" borderId="18" xfId="2" applyFont="1" applyFill="1" applyBorder="1" applyAlignment="1">
      <alignment vertical="center"/>
    </xf>
    <xf numFmtId="3" fontId="33" fillId="14" borderId="0" xfId="0" applyNumberFormat="1" applyFont="1" applyFill="1" applyAlignment="1">
      <alignment vertical="center"/>
    </xf>
    <xf numFmtId="3" fontId="11" fillId="23" borderId="0" xfId="2" applyNumberFormat="1" applyFont="1" applyFill="1" applyBorder="1" applyAlignment="1">
      <alignment vertical="center"/>
    </xf>
    <xf numFmtId="168" fontId="33" fillId="14" borderId="21" xfId="0" applyNumberFormat="1" applyFont="1" applyFill="1" applyBorder="1" applyAlignment="1">
      <alignment vertical="center"/>
    </xf>
    <xf numFmtId="9" fontId="11" fillId="3" borderId="21" xfId="2" applyFont="1" applyFill="1" applyBorder="1" applyAlignment="1">
      <alignment vertical="center"/>
    </xf>
    <xf numFmtId="9" fontId="11" fillId="3" borderId="22" xfId="2" applyFont="1" applyFill="1" applyBorder="1" applyAlignment="1">
      <alignment vertical="center"/>
    </xf>
    <xf numFmtId="9" fontId="11" fillId="3" borderId="20" xfId="2" applyFont="1" applyFill="1" applyBorder="1" applyAlignment="1">
      <alignment vertical="center"/>
    </xf>
    <xf numFmtId="168" fontId="30" fillId="14" borderId="16" xfId="2" applyNumberFormat="1" applyFont="1" applyFill="1" applyBorder="1" applyAlignment="1">
      <alignment vertical="center"/>
    </xf>
    <xf numFmtId="9" fontId="10" fillId="14" borderId="16" xfId="2" applyFont="1" applyFill="1" applyBorder="1" applyAlignment="1">
      <alignment vertical="center"/>
    </xf>
    <xf numFmtId="9" fontId="10" fillId="14" borderId="17" xfId="2" applyFont="1" applyFill="1" applyBorder="1" applyAlignment="1">
      <alignment vertical="center"/>
    </xf>
    <xf numFmtId="168" fontId="33" fillId="14" borderId="0" xfId="2" applyNumberFormat="1" applyFont="1" applyFill="1" applyBorder="1" applyAlignment="1">
      <alignment vertical="center"/>
    </xf>
    <xf numFmtId="9" fontId="11" fillId="23" borderId="0" xfId="2" applyFont="1" applyFill="1" applyBorder="1" applyAlignment="1">
      <alignment vertical="center"/>
    </xf>
    <xf numFmtId="9" fontId="11" fillId="23" borderId="19" xfId="2" applyFont="1" applyFill="1" applyBorder="1" applyAlignment="1">
      <alignment vertical="center"/>
    </xf>
    <xf numFmtId="9" fontId="11" fillId="23" borderId="21" xfId="2" applyFont="1" applyFill="1" applyBorder="1" applyAlignment="1">
      <alignment vertical="center"/>
    </xf>
    <xf numFmtId="9" fontId="11" fillId="23" borderId="22" xfId="2" applyFont="1" applyFill="1" applyBorder="1" applyAlignment="1">
      <alignment vertical="center"/>
    </xf>
    <xf numFmtId="9" fontId="11" fillId="3" borderId="0" xfId="2" applyFont="1" applyFill="1" applyAlignment="1">
      <alignment vertical="center"/>
    </xf>
    <xf numFmtId="169" fontId="30" fillId="14" borderId="16" xfId="0" applyNumberFormat="1" applyFont="1" applyFill="1" applyBorder="1" applyAlignment="1">
      <alignment vertical="center"/>
    </xf>
    <xf numFmtId="10" fontId="11" fillId="23" borderId="0" xfId="0" applyNumberFormat="1" applyFont="1" applyFill="1" applyAlignment="1">
      <alignment vertical="center"/>
    </xf>
    <xf numFmtId="10" fontId="11" fillId="23" borderId="19" xfId="0" applyNumberFormat="1" applyFont="1" applyFill="1" applyBorder="1" applyAlignment="1">
      <alignment vertical="center"/>
    </xf>
    <xf numFmtId="0" fontId="33" fillId="14" borderId="0" xfId="0" applyFont="1" applyFill="1" applyAlignment="1">
      <alignment vertical="center"/>
    </xf>
    <xf numFmtId="0" fontId="11" fillId="14" borderId="19" xfId="0" applyFont="1" applyFill="1" applyBorder="1" applyAlignment="1">
      <alignment vertical="center"/>
    </xf>
    <xf numFmtId="169" fontId="33" fillId="14" borderId="0" xfId="0" applyNumberFormat="1" applyFont="1" applyFill="1" applyAlignment="1">
      <alignment vertical="center"/>
    </xf>
    <xf numFmtId="10" fontId="10" fillId="14" borderId="0" xfId="2" applyNumberFormat="1" applyFont="1" applyFill="1" applyAlignment="1">
      <alignment vertical="center"/>
    </xf>
    <xf numFmtId="10" fontId="10" fillId="14" borderId="19" xfId="2" applyNumberFormat="1" applyFont="1" applyFill="1" applyBorder="1" applyAlignment="1">
      <alignment vertical="center"/>
    </xf>
    <xf numFmtId="0" fontId="11" fillId="3" borderId="19" xfId="0" applyFont="1" applyFill="1" applyBorder="1" applyAlignment="1">
      <alignment vertical="center"/>
    </xf>
    <xf numFmtId="168" fontId="10" fillId="14" borderId="0" xfId="2" applyNumberFormat="1" applyFont="1" applyFill="1" applyAlignment="1">
      <alignment vertical="center"/>
    </xf>
    <xf numFmtId="168" fontId="10" fillId="14" borderId="19" xfId="2" applyNumberFormat="1" applyFont="1" applyFill="1" applyBorder="1" applyAlignment="1">
      <alignment vertical="center"/>
    </xf>
    <xf numFmtId="0" fontId="33" fillId="14" borderId="21" xfId="0" applyFont="1" applyFill="1" applyBorder="1" applyAlignment="1">
      <alignment vertical="center"/>
    </xf>
    <xf numFmtId="0" fontId="11" fillId="3" borderId="22" xfId="0" applyFont="1" applyFill="1" applyBorder="1" applyAlignment="1">
      <alignment vertical="center"/>
    </xf>
    <xf numFmtId="168" fontId="11" fillId="23" borderId="0" xfId="2" applyNumberFormat="1" applyFont="1" applyFill="1" applyBorder="1" applyAlignment="1">
      <alignment vertical="center"/>
    </xf>
    <xf numFmtId="168" fontId="11" fillId="23" borderId="19" xfId="2" applyNumberFormat="1" applyFont="1" applyFill="1" applyBorder="1" applyAlignment="1">
      <alignment vertical="center"/>
    </xf>
    <xf numFmtId="169" fontId="10" fillId="14" borderId="16" xfId="0" applyNumberFormat="1" applyFont="1" applyFill="1" applyBorder="1" applyAlignment="1">
      <alignment vertical="center"/>
    </xf>
    <xf numFmtId="166" fontId="10" fillId="14" borderId="16" xfId="1" applyNumberFormat="1" applyFont="1" applyFill="1" applyBorder="1" applyAlignment="1">
      <alignment vertical="center"/>
    </xf>
    <xf numFmtId="169" fontId="10" fillId="14" borderId="0" xfId="0" applyNumberFormat="1" applyFont="1" applyFill="1" applyAlignment="1">
      <alignment vertical="center"/>
    </xf>
    <xf numFmtId="0" fontId="10" fillId="14" borderId="0" xfId="0" applyFont="1" applyFill="1" applyAlignment="1">
      <alignment vertical="center"/>
    </xf>
    <xf numFmtId="169" fontId="11" fillId="14" borderId="0" xfId="0" applyNumberFormat="1" applyFont="1" applyFill="1" applyAlignment="1">
      <alignment vertical="center"/>
    </xf>
    <xf numFmtId="168" fontId="11" fillId="14" borderId="0" xfId="0" applyNumberFormat="1" applyFont="1" applyFill="1" applyAlignment="1">
      <alignment vertical="center"/>
    </xf>
    <xf numFmtId="0" fontId="11" fillId="14" borderId="21" xfId="0" applyFont="1" applyFill="1" applyBorder="1" applyAlignment="1">
      <alignment vertical="center"/>
    </xf>
    <xf numFmtId="9" fontId="10" fillId="3" borderId="16" xfId="2" applyFont="1" applyFill="1" applyBorder="1" applyAlignment="1">
      <alignment vertical="center"/>
    </xf>
    <xf numFmtId="9" fontId="10" fillId="3" borderId="17" xfId="2" applyFont="1" applyFill="1" applyBorder="1" applyAlignment="1">
      <alignment vertical="center"/>
    </xf>
    <xf numFmtId="169" fontId="10" fillId="14" borderId="17" xfId="0" applyNumberFormat="1" applyFont="1" applyFill="1" applyBorder="1" applyAlignment="1">
      <alignment vertical="center"/>
    </xf>
    <xf numFmtId="9" fontId="10" fillId="14" borderId="0" xfId="2" applyFont="1" applyFill="1" applyBorder="1" applyAlignment="1">
      <alignment vertical="center"/>
    </xf>
    <xf numFmtId="169" fontId="10" fillId="14" borderId="19" xfId="0" applyNumberFormat="1" applyFont="1" applyFill="1" applyBorder="1" applyAlignment="1">
      <alignment vertical="center"/>
    </xf>
    <xf numFmtId="168" fontId="11" fillId="14" borderId="0" xfId="2" applyNumberFormat="1" applyFont="1" applyFill="1" applyBorder="1" applyAlignment="1">
      <alignment vertical="center"/>
    </xf>
    <xf numFmtId="1" fontId="10" fillId="14" borderId="0" xfId="0" applyNumberFormat="1" applyFont="1" applyFill="1" applyAlignment="1">
      <alignment vertical="center"/>
    </xf>
    <xf numFmtId="1" fontId="10" fillId="14" borderId="19" xfId="0" applyNumberFormat="1" applyFont="1" applyFill="1" applyBorder="1" applyAlignment="1">
      <alignment vertical="center"/>
    </xf>
    <xf numFmtId="182" fontId="33" fillId="14" borderId="0" xfId="0" applyNumberFormat="1" applyFont="1" applyFill="1" applyAlignment="1">
      <alignment vertical="center"/>
    </xf>
    <xf numFmtId="168" fontId="11" fillId="3" borderId="21" xfId="2" applyNumberFormat="1" applyFont="1" applyFill="1" applyBorder="1" applyAlignment="1">
      <alignment vertical="center"/>
    </xf>
    <xf numFmtId="168" fontId="11" fillId="3" borderId="22" xfId="2" applyNumberFormat="1" applyFont="1" applyFill="1" applyBorder="1" applyAlignment="1">
      <alignment vertical="center"/>
    </xf>
    <xf numFmtId="168" fontId="11" fillId="21" borderId="21" xfId="2" applyNumberFormat="1" applyFont="1" applyFill="1" applyBorder="1" applyAlignment="1">
      <alignment vertical="center"/>
    </xf>
    <xf numFmtId="168" fontId="11" fillId="21" borderId="22" xfId="2" applyNumberFormat="1" applyFont="1" applyFill="1" applyBorder="1" applyAlignment="1">
      <alignment vertical="center"/>
    </xf>
    <xf numFmtId="168" fontId="11" fillId="3" borderId="0" xfId="2" applyNumberFormat="1" applyFont="1" applyFill="1" applyBorder="1" applyAlignment="1">
      <alignment vertical="center"/>
    </xf>
    <xf numFmtId="168" fontId="11" fillId="3" borderId="19" xfId="2" applyNumberFormat="1" applyFont="1" applyFill="1" applyBorder="1" applyAlignment="1">
      <alignment vertical="center"/>
    </xf>
    <xf numFmtId="0" fontId="18" fillId="28" borderId="0" xfId="0" applyFont="1" applyFill="1" applyAlignment="1">
      <alignment horizontal="center" vertical="center"/>
    </xf>
    <xf numFmtId="0" fontId="35" fillId="14" borderId="30" xfId="0" applyFont="1" applyFill="1" applyBorder="1" applyAlignment="1">
      <alignment horizontal="center" vertical="center" wrapText="1"/>
    </xf>
    <xf numFmtId="0" fontId="18" fillId="28" borderId="27" xfId="0" applyFont="1" applyFill="1" applyBorder="1" applyAlignment="1">
      <alignment horizontal="center" vertical="center"/>
    </xf>
    <xf numFmtId="0" fontId="16" fillId="5" borderId="27" xfId="0" applyFont="1" applyFill="1" applyBorder="1" applyAlignment="1">
      <alignment vertical="center" wrapText="1"/>
    </xf>
    <xf numFmtId="0" fontId="16" fillId="5" borderId="28" xfId="0" applyFont="1" applyFill="1" applyBorder="1" applyAlignment="1">
      <alignment vertical="center" wrapText="1"/>
    </xf>
    <xf numFmtId="0" fontId="16" fillId="5" borderId="23" xfId="0" applyFont="1" applyFill="1" applyBorder="1" applyAlignment="1">
      <alignment vertical="center" wrapText="1"/>
    </xf>
    <xf numFmtId="0" fontId="16" fillId="5" borderId="29" xfId="0" applyFont="1" applyFill="1" applyBorder="1" applyAlignment="1">
      <alignment vertical="center"/>
    </xf>
    <xf numFmtId="0" fontId="16" fillId="5" borderId="28" xfId="0" applyFont="1" applyFill="1" applyBorder="1" applyAlignment="1">
      <alignment vertical="center"/>
    </xf>
    <xf numFmtId="0" fontId="36" fillId="5" borderId="27" xfId="0" applyFont="1" applyFill="1" applyBorder="1" applyAlignment="1">
      <alignment vertical="center" wrapText="1"/>
    </xf>
    <xf numFmtId="0" fontId="16" fillId="5" borderId="29" xfId="0" applyFont="1" applyFill="1" applyBorder="1" applyAlignment="1">
      <alignment vertical="center" wrapText="1"/>
    </xf>
    <xf numFmtId="0" fontId="16" fillId="5" borderId="29" xfId="0" applyFont="1" applyFill="1" applyBorder="1" applyAlignment="1">
      <alignment horizontal="left" vertical="center"/>
    </xf>
    <xf numFmtId="0" fontId="16" fillId="5" borderId="28" xfId="0" applyFont="1" applyFill="1" applyBorder="1" applyAlignment="1">
      <alignment horizontal="left" vertical="center"/>
    </xf>
    <xf numFmtId="0" fontId="36" fillId="5" borderId="27" xfId="0" applyFont="1" applyFill="1" applyBorder="1" applyAlignment="1">
      <alignment vertical="center"/>
    </xf>
    <xf numFmtId="0" fontId="36" fillId="5" borderId="29" xfId="0" applyFont="1" applyFill="1" applyBorder="1" applyAlignment="1">
      <alignment vertical="center"/>
    </xf>
    <xf numFmtId="0" fontId="16" fillId="5" borderId="27" xfId="0" applyFont="1" applyFill="1" applyBorder="1" applyAlignment="1">
      <alignment vertical="center"/>
    </xf>
    <xf numFmtId="180" fontId="16" fillId="5" borderId="27" xfId="0" applyNumberFormat="1" applyFont="1" applyFill="1" applyBorder="1" applyAlignment="1">
      <alignment vertical="center"/>
    </xf>
    <xf numFmtId="180" fontId="16" fillId="5" borderId="29" xfId="0" applyNumberFormat="1" applyFont="1" applyFill="1" applyBorder="1" applyAlignment="1">
      <alignment vertical="center"/>
    </xf>
    <xf numFmtId="0" fontId="73" fillId="5" borderId="23" xfId="0" applyFont="1" applyFill="1" applyBorder="1" applyAlignment="1">
      <alignment vertical="center" wrapText="1"/>
    </xf>
    <xf numFmtId="0" fontId="73" fillId="5" borderId="27" xfId="0" applyFont="1" applyFill="1" applyBorder="1" applyAlignment="1">
      <alignment vertical="center" wrapText="1"/>
    </xf>
    <xf numFmtId="0" fontId="73" fillId="5" borderId="29" xfId="0" applyFont="1" applyFill="1" applyBorder="1" applyAlignment="1">
      <alignment vertical="center"/>
    </xf>
    <xf numFmtId="0" fontId="73" fillId="5" borderId="28" xfId="0" applyFont="1" applyFill="1" applyBorder="1" applyAlignment="1">
      <alignment vertical="center"/>
    </xf>
    <xf numFmtId="0" fontId="73" fillId="5" borderId="28" xfId="0" applyFont="1" applyFill="1" applyBorder="1" applyAlignment="1">
      <alignment vertical="center" wrapText="1"/>
    </xf>
    <xf numFmtId="0" fontId="73" fillId="5" borderId="27" xfId="0" applyFont="1" applyFill="1" applyBorder="1" applyAlignment="1">
      <alignment vertical="center"/>
    </xf>
    <xf numFmtId="180" fontId="73" fillId="5" borderId="27" xfId="0" applyNumberFormat="1" applyFont="1" applyFill="1" applyBorder="1" applyAlignment="1">
      <alignment vertical="center"/>
    </xf>
    <xf numFmtId="0" fontId="73" fillId="14" borderId="0" xfId="0" applyFont="1" applyFill="1" applyAlignment="1">
      <alignment vertical="center"/>
    </xf>
    <xf numFmtId="0" fontId="74" fillId="14" borderId="0" xfId="0" applyFont="1" applyFill="1" applyAlignment="1">
      <alignment vertical="center" wrapText="1"/>
    </xf>
    <xf numFmtId="0" fontId="56" fillId="3" borderId="42" xfId="0" applyFont="1" applyFill="1" applyBorder="1"/>
    <xf numFmtId="172" fontId="10" fillId="3" borderId="43" xfId="0" applyNumberFormat="1" applyFont="1" applyFill="1" applyBorder="1" applyAlignment="1">
      <alignment horizontal="right" vertical="center"/>
    </xf>
    <xf numFmtId="172" fontId="10" fillId="3" borderId="44" xfId="0" applyNumberFormat="1" applyFont="1" applyFill="1" applyBorder="1" applyAlignment="1">
      <alignment horizontal="right" vertical="center"/>
    </xf>
    <xf numFmtId="172" fontId="10" fillId="3" borderId="45" xfId="0" applyNumberFormat="1" applyFont="1" applyFill="1" applyBorder="1" applyAlignment="1">
      <alignment horizontal="right" vertical="center"/>
    </xf>
    <xf numFmtId="172" fontId="10" fillId="27" borderId="43" xfId="0" applyNumberFormat="1" applyFont="1" applyFill="1" applyBorder="1" applyAlignment="1">
      <alignment vertical="center"/>
    </xf>
    <xf numFmtId="0" fontId="11" fillId="3" borderId="18" xfId="0" applyFont="1" applyFill="1" applyBorder="1" applyAlignment="1">
      <alignment horizontal="left" wrapText="1" indent="2"/>
    </xf>
    <xf numFmtId="1" fontId="11" fillId="23" borderId="19" xfId="0" applyNumberFormat="1" applyFont="1" applyFill="1" applyBorder="1" applyAlignment="1">
      <alignment vertical="center"/>
    </xf>
    <xf numFmtId="3" fontId="11" fillId="23" borderId="21" xfId="0" applyNumberFormat="1" applyFont="1" applyFill="1" applyBorder="1" applyAlignment="1">
      <alignment vertical="center"/>
    </xf>
    <xf numFmtId="3" fontId="11" fillId="23" borderId="22" xfId="0" applyNumberFormat="1" applyFont="1" applyFill="1" applyBorder="1" applyAlignment="1">
      <alignment vertical="center"/>
    </xf>
    <xf numFmtId="0" fontId="21" fillId="2" borderId="24" xfId="0" applyFont="1" applyFill="1" applyBorder="1"/>
    <xf numFmtId="180" fontId="57" fillId="3" borderId="16" xfId="0" applyNumberFormat="1" applyFont="1" applyFill="1" applyBorder="1"/>
    <xf numFmtId="180" fontId="57" fillId="3" borderId="17" xfId="0" applyNumberFormat="1" applyFont="1" applyFill="1" applyBorder="1"/>
    <xf numFmtId="180" fontId="11" fillId="3" borderId="19" xfId="0" applyNumberFormat="1" applyFont="1" applyFill="1" applyBorder="1"/>
    <xf numFmtId="0" fontId="21" fillId="2" borderId="25" xfId="0" applyFont="1" applyFill="1" applyBorder="1"/>
    <xf numFmtId="180" fontId="57" fillId="3" borderId="24" xfId="0" applyNumberFormat="1" applyFont="1" applyFill="1" applyBorder="1"/>
    <xf numFmtId="180" fontId="57" fillId="3" borderId="25" xfId="0" applyNumberFormat="1" applyFont="1" applyFill="1" applyBorder="1"/>
    <xf numFmtId="0" fontId="57" fillId="14" borderId="27" xfId="0" applyFont="1" applyFill="1" applyBorder="1"/>
    <xf numFmtId="0" fontId="11" fillId="3" borderId="28" xfId="0" applyFont="1" applyFill="1" applyBorder="1"/>
    <xf numFmtId="0" fontId="57" fillId="14" borderId="23" xfId="0" applyFont="1" applyFill="1" applyBorder="1"/>
    <xf numFmtId="180" fontId="33" fillId="14" borderId="16" xfId="0" applyNumberFormat="1" applyFont="1" applyFill="1" applyBorder="1"/>
    <xf numFmtId="180" fontId="33" fillId="3" borderId="16" xfId="0" applyNumberFormat="1" applyFont="1" applyFill="1" applyBorder="1"/>
    <xf numFmtId="180" fontId="33" fillId="3" borderId="34" xfId="0" applyNumberFormat="1" applyFont="1" applyFill="1" applyBorder="1"/>
    <xf numFmtId="180" fontId="33" fillId="14" borderId="0" xfId="0" applyNumberFormat="1" applyFont="1" applyFill="1"/>
    <xf numFmtId="180" fontId="33" fillId="3" borderId="13" xfId="0" applyNumberFormat="1" applyFont="1" applyFill="1" applyBorder="1"/>
    <xf numFmtId="180" fontId="48" fillId="14" borderId="0" xfId="0" applyNumberFormat="1" applyFont="1" applyFill="1"/>
    <xf numFmtId="180" fontId="48" fillId="3" borderId="0" xfId="0" applyNumberFormat="1" applyFont="1" applyFill="1"/>
    <xf numFmtId="180" fontId="48" fillId="3" borderId="13" xfId="0" applyNumberFormat="1" applyFont="1" applyFill="1" applyBorder="1"/>
    <xf numFmtId="180" fontId="47" fillId="3" borderId="0" xfId="0" applyNumberFormat="1" applyFont="1" applyFill="1"/>
    <xf numFmtId="180" fontId="10" fillId="3" borderId="21" xfId="0" applyNumberFormat="1" applyFont="1" applyFill="1" applyBorder="1"/>
    <xf numFmtId="180" fontId="10" fillId="3" borderId="33" xfId="0" applyNumberFormat="1" applyFont="1" applyFill="1" applyBorder="1"/>
    <xf numFmtId="180" fontId="33" fillId="14" borderId="21" xfId="0" applyNumberFormat="1" applyFont="1" applyFill="1" applyBorder="1"/>
    <xf numFmtId="0" fontId="75" fillId="21" borderId="54" xfId="8" applyFont="1" applyFill="1" applyBorder="1" applyAlignment="1">
      <alignment horizontal="center" vertical="center" wrapText="1"/>
    </xf>
    <xf numFmtId="1" fontId="11" fillId="3" borderId="0" xfId="0" applyNumberFormat="1" applyFont="1" applyFill="1" applyAlignment="1">
      <alignment vertical="center"/>
    </xf>
    <xf numFmtId="0" fontId="41" fillId="14" borderId="0" xfId="0" applyFont="1" applyFill="1" applyAlignment="1">
      <alignment vertical="top"/>
    </xf>
    <xf numFmtId="0" fontId="12" fillId="21" borderId="0" xfId="0" applyFont="1" applyFill="1" applyAlignment="1">
      <alignment horizontal="left" vertical="center" wrapText="1"/>
    </xf>
    <xf numFmtId="0" fontId="12" fillId="21" borderId="0" xfId="0" applyFont="1" applyFill="1"/>
    <xf numFmtId="0" fontId="12" fillId="21" borderId="0" xfId="0" applyFont="1" applyFill="1" applyAlignment="1">
      <alignment horizontal="left" vertical="top"/>
    </xf>
    <xf numFmtId="0" fontId="69" fillId="21" borderId="0" xfId="0" applyFont="1" applyFill="1"/>
    <xf numFmtId="0" fontId="63" fillId="21" borderId="0" xfId="0" quotePrefix="1" applyFont="1" applyFill="1" applyAlignment="1">
      <alignment vertical="center"/>
    </xf>
    <xf numFmtId="0" fontId="12" fillId="21" borderId="0" xfId="0" applyFont="1" applyFill="1" applyAlignment="1">
      <alignment vertical="center"/>
    </xf>
    <xf numFmtId="0" fontId="65" fillId="21" borderId="0" xfId="0" applyFont="1" applyFill="1" applyAlignment="1">
      <alignment horizontal="center" vertical="center"/>
    </xf>
    <xf numFmtId="0" fontId="62" fillId="21" borderId="55" xfId="0" quotePrefix="1" applyFont="1" applyFill="1" applyBorder="1" applyAlignment="1">
      <alignment vertical="center"/>
    </xf>
    <xf numFmtId="0" fontId="12" fillId="21" borderId="55" xfId="0" applyFont="1" applyFill="1" applyBorder="1" applyAlignment="1">
      <alignment vertical="center"/>
    </xf>
    <xf numFmtId="0" fontId="64" fillId="21" borderId="0" xfId="0" quotePrefix="1" applyFont="1" applyFill="1" applyAlignment="1">
      <alignment vertical="center"/>
    </xf>
    <xf numFmtId="0" fontId="62" fillId="21" borderId="0" xfId="0" quotePrefix="1" applyFont="1" applyFill="1" applyAlignment="1">
      <alignment vertical="center"/>
    </xf>
    <xf numFmtId="0" fontId="14" fillId="14" borderId="0" xfId="0" applyFont="1" applyFill="1" applyAlignment="1">
      <alignment vertical="center"/>
    </xf>
    <xf numFmtId="0" fontId="14" fillId="36" borderId="0" xfId="0" applyFont="1" applyFill="1" applyAlignment="1">
      <alignment vertical="center"/>
    </xf>
    <xf numFmtId="0" fontId="59" fillId="21" borderId="0" xfId="0" applyFont="1" applyFill="1" applyAlignment="1">
      <alignment horizontal="center" vertical="center"/>
    </xf>
    <xf numFmtId="0" fontId="72" fillId="21" borderId="0" xfId="8" applyFont="1" applyFill="1" applyBorder="1" applyAlignment="1">
      <alignment horizontal="center" vertical="center" wrapText="1"/>
    </xf>
    <xf numFmtId="15" fontId="27" fillId="32" borderId="6" xfId="0" applyNumberFormat="1" applyFont="1" applyFill="1" applyBorder="1" applyAlignment="1" applyProtection="1">
      <alignment horizontal="center" vertical="center"/>
      <protection hidden="1"/>
    </xf>
    <xf numFmtId="3" fontId="22" fillId="37" borderId="0" xfId="1" applyNumberFormat="1" applyFont="1" applyFill="1" applyBorder="1"/>
    <xf numFmtId="3" fontId="22" fillId="37" borderId="3" xfId="1" applyNumberFormat="1" applyFont="1" applyFill="1" applyBorder="1"/>
    <xf numFmtId="3" fontId="29" fillId="32" borderId="2" xfId="1" applyNumberFormat="1" applyFont="1" applyFill="1" applyBorder="1" applyAlignment="1">
      <alignment vertical="center"/>
    </xf>
    <xf numFmtId="3" fontId="29" fillId="32" borderId="4" xfId="1" applyNumberFormat="1" applyFont="1" applyFill="1" applyBorder="1" applyAlignment="1">
      <alignment vertical="center"/>
    </xf>
    <xf numFmtId="3" fontId="25" fillId="38" borderId="19" xfId="1" applyNumberFormat="1" applyFont="1" applyFill="1" applyBorder="1" applyAlignment="1">
      <alignment horizontal="right" vertical="center"/>
    </xf>
    <xf numFmtId="3" fontId="27" fillId="38" borderId="19" xfId="6" applyNumberFormat="1" applyFont="1" applyFill="1" applyBorder="1" applyAlignment="1">
      <alignment horizontal="right" vertical="center"/>
    </xf>
    <xf numFmtId="3" fontId="25" fillId="38" borderId="22" xfId="1" applyNumberFormat="1" applyFont="1" applyFill="1" applyBorder="1" applyAlignment="1">
      <alignment horizontal="right" vertical="center"/>
    </xf>
    <xf numFmtId="3" fontId="22" fillId="38" borderId="19" xfId="1" applyNumberFormat="1" applyFont="1" applyFill="1" applyBorder="1" applyAlignment="1">
      <alignment horizontal="right" vertical="center"/>
    </xf>
    <xf numFmtId="3" fontId="26" fillId="23" borderId="0" xfId="0" applyNumberFormat="1" applyFont="1" applyFill="1"/>
    <xf numFmtId="15" fontId="27" fillId="32" borderId="0" xfId="0" applyNumberFormat="1" applyFont="1" applyFill="1" applyAlignment="1" applyProtection="1">
      <alignment horizontal="center" vertical="center"/>
      <protection hidden="1"/>
    </xf>
    <xf numFmtId="178" fontId="11" fillId="23" borderId="0" xfId="0" applyNumberFormat="1" applyFont="1" applyFill="1"/>
    <xf numFmtId="3" fontId="11" fillId="27" borderId="0" xfId="0" applyNumberFormat="1" applyFont="1" applyFill="1" applyAlignment="1">
      <alignment vertical="center"/>
    </xf>
    <xf numFmtId="1" fontId="11" fillId="27" borderId="0" xfId="0" applyNumberFormat="1" applyFont="1" applyFill="1" applyAlignment="1">
      <alignment vertical="center"/>
    </xf>
    <xf numFmtId="1" fontId="11" fillId="23" borderId="0" xfId="0" applyNumberFormat="1" applyFont="1" applyFill="1" applyAlignment="1">
      <alignment vertical="center"/>
    </xf>
    <xf numFmtId="0" fontId="12" fillId="21" borderId="0" xfId="0" applyFont="1" applyFill="1" applyAlignment="1">
      <alignment vertical="top" wrapText="1"/>
    </xf>
    <xf numFmtId="0" fontId="12" fillId="21" borderId="0" xfId="0" applyFont="1" applyFill="1" applyAlignment="1">
      <alignment horizontal="left" vertical="top"/>
    </xf>
    <xf numFmtId="0" fontId="12" fillId="21" borderId="0" xfId="0" applyFont="1" applyFill="1" applyAlignment="1">
      <alignment horizontal="left" vertical="top" wrapText="1"/>
    </xf>
    <xf numFmtId="0" fontId="12" fillId="36" borderId="0" xfId="0" applyFont="1" applyFill="1" applyAlignment="1">
      <alignment horizontal="left" vertical="top" wrapText="1"/>
    </xf>
    <xf numFmtId="0" fontId="12" fillId="21" borderId="0" xfId="0" applyFont="1" applyFill="1" applyAlignment="1">
      <alignment horizontal="left" vertical="center" wrapText="1"/>
    </xf>
    <xf numFmtId="0" fontId="12" fillId="14" borderId="0" xfId="0" applyFont="1" applyFill="1" applyAlignment="1">
      <alignment horizontal="left" vertical="top" wrapText="1"/>
    </xf>
    <xf numFmtId="0" fontId="12" fillId="14" borderId="0" xfId="0" applyFont="1" applyFill="1" applyAlignment="1">
      <alignment horizontal="left" vertical="center" wrapText="1"/>
    </xf>
    <xf numFmtId="0" fontId="26" fillId="3" borderId="0" xfId="0" applyFont="1" applyFill="1" applyAlignment="1">
      <alignment horizontal="left" vertical="center" wrapText="1"/>
    </xf>
    <xf numFmtId="0" fontId="51" fillId="3" borderId="0" xfId="0" applyFont="1" applyFill="1" applyAlignment="1">
      <alignment horizontal="left" vertical="center" wrapText="1"/>
    </xf>
    <xf numFmtId="0" fontId="27" fillId="11" borderId="0" xfId="0" applyFont="1" applyFill="1" applyAlignment="1" applyProtection="1">
      <alignment horizontal="center" vertical="center" wrapText="1"/>
      <protection hidden="1"/>
    </xf>
    <xf numFmtId="0" fontId="25" fillId="31" borderId="0" xfId="0" applyFont="1" applyFill="1" applyAlignment="1" applyProtection="1">
      <alignment horizontal="center" vertical="center" wrapText="1"/>
      <protection hidden="1"/>
    </xf>
    <xf numFmtId="0" fontId="25" fillId="31" borderId="0" xfId="0" applyFont="1" applyFill="1" applyAlignment="1" applyProtection="1">
      <alignment horizontal="center" vertical="center"/>
      <protection hidden="1"/>
    </xf>
    <xf numFmtId="0" fontId="50" fillId="21" borderId="0" xfId="0" applyFont="1" applyFill="1" applyAlignment="1">
      <alignment horizontal="left" vertical="center" wrapText="1"/>
    </xf>
    <xf numFmtId="0" fontId="11" fillId="21" borderId="0" xfId="0" applyFont="1" applyFill="1" applyAlignment="1">
      <alignment horizontal="left" vertical="top" wrapText="1"/>
    </xf>
    <xf numFmtId="0" fontId="26" fillId="21" borderId="0" xfId="0" applyFont="1" applyFill="1" applyAlignment="1">
      <alignment horizontal="left" vertical="center" wrapText="1"/>
    </xf>
    <xf numFmtId="0" fontId="51" fillId="21" borderId="0" xfId="0" applyFont="1" applyFill="1" applyAlignment="1">
      <alignment horizontal="left" vertical="top" wrapText="1"/>
    </xf>
    <xf numFmtId="180" fontId="73" fillId="5" borderId="27" xfId="0" applyNumberFormat="1" applyFont="1" applyFill="1" applyBorder="1" applyAlignment="1">
      <alignment horizontal="left" vertical="center" wrapText="1"/>
    </xf>
    <xf numFmtId="180" fontId="73" fillId="5" borderId="28" xfId="0" applyNumberFormat="1" applyFont="1" applyFill="1" applyBorder="1" applyAlignment="1">
      <alignment horizontal="left" vertical="center" wrapText="1"/>
    </xf>
    <xf numFmtId="180" fontId="73" fillId="5" borderId="29" xfId="0" applyNumberFormat="1" applyFont="1" applyFill="1" applyBorder="1" applyAlignment="1">
      <alignment horizontal="left" vertical="center" wrapText="1"/>
    </xf>
    <xf numFmtId="0" fontId="73" fillId="5" borderId="27" xfId="0" applyFont="1" applyFill="1" applyBorder="1" applyAlignment="1">
      <alignment horizontal="left" vertical="center" wrapText="1"/>
    </xf>
    <xf numFmtId="0" fontId="73" fillId="5" borderId="29" xfId="0" applyFont="1" applyFill="1" applyBorder="1" applyAlignment="1">
      <alignment horizontal="left" vertical="center" wrapText="1"/>
    </xf>
    <xf numFmtId="0" fontId="73" fillId="5" borderId="28" xfId="0" applyFont="1" applyFill="1" applyBorder="1" applyAlignment="1">
      <alignment horizontal="left" vertical="center" wrapText="1"/>
    </xf>
    <xf numFmtId="0" fontId="35" fillId="14" borderId="15" xfId="0" applyFont="1" applyFill="1" applyBorder="1" applyAlignment="1">
      <alignment horizontal="center" vertical="center" wrapText="1"/>
    </xf>
    <xf numFmtId="0" fontId="35" fillId="14" borderId="20" xfId="0" applyFont="1" applyFill="1" applyBorder="1" applyAlignment="1">
      <alignment horizontal="center" vertical="center" wrapText="1"/>
    </xf>
    <xf numFmtId="0" fontId="35" fillId="14" borderId="18" xfId="0" applyFont="1" applyFill="1" applyBorder="1" applyAlignment="1">
      <alignment horizontal="center" vertical="center" wrapText="1"/>
    </xf>
    <xf numFmtId="0" fontId="72" fillId="21" borderId="57" xfId="8" applyFont="1" applyFill="1" applyBorder="1" applyAlignment="1">
      <alignment horizontal="center" vertical="center" wrapText="1"/>
    </xf>
    <xf numFmtId="0" fontId="72" fillId="21" borderId="58" xfId="8" applyFont="1" applyFill="1" applyBorder="1" applyAlignment="1">
      <alignment horizontal="center" vertical="center" wrapText="1"/>
    </xf>
    <xf numFmtId="3" fontId="11" fillId="27" borderId="0" xfId="0" applyNumberFormat="1" applyFont="1" applyFill="1" applyAlignment="1">
      <alignment horizontal="left" wrapText="1"/>
    </xf>
    <xf numFmtId="3" fontId="11" fillId="36" borderId="0" xfId="0" applyNumberFormat="1" applyFont="1" applyFill="1" applyAlignment="1">
      <alignment horizontal="left" vertical="center" wrapText="1"/>
    </xf>
    <xf numFmtId="0" fontId="21" fillId="28" borderId="15" xfId="0" applyFont="1" applyFill="1" applyBorder="1" applyAlignment="1">
      <alignment horizontal="center" vertical="center" wrapText="1"/>
    </xf>
    <xf numFmtId="0" fontId="21" fillId="28" borderId="18" xfId="0" applyFont="1" applyFill="1" applyBorder="1" applyAlignment="1">
      <alignment horizontal="center" vertical="center" wrapText="1"/>
    </xf>
    <xf numFmtId="0" fontId="21" fillId="28" borderId="20" xfId="0" applyFont="1" applyFill="1" applyBorder="1" applyAlignment="1">
      <alignment horizontal="center" vertical="center" wrapText="1"/>
    </xf>
    <xf numFmtId="0" fontId="10" fillId="19" borderId="16" xfId="0" applyFont="1" applyFill="1" applyBorder="1" applyAlignment="1">
      <alignment horizontal="center" vertical="center" wrapText="1"/>
    </xf>
    <xf numFmtId="0" fontId="10" fillId="19" borderId="0" xfId="0" applyFont="1" applyFill="1" applyAlignment="1">
      <alignment horizontal="center" vertical="center" wrapText="1"/>
    </xf>
    <xf numFmtId="0" fontId="10" fillId="19" borderId="21" xfId="0" applyFont="1" applyFill="1" applyBorder="1" applyAlignment="1">
      <alignment horizontal="center" vertical="center" wrapText="1"/>
    </xf>
    <xf numFmtId="0" fontId="10" fillId="19" borderId="15" xfId="0" applyFont="1" applyFill="1" applyBorder="1" applyAlignment="1">
      <alignment horizontal="center" vertical="center" wrapText="1"/>
    </xf>
    <xf numFmtId="0" fontId="10" fillId="19" borderId="18" xfId="0" applyFont="1" applyFill="1" applyBorder="1" applyAlignment="1">
      <alignment horizontal="center" vertical="center" wrapText="1"/>
    </xf>
    <xf numFmtId="0" fontId="10" fillId="19" borderId="20" xfId="0" applyFont="1" applyFill="1" applyBorder="1" applyAlignment="1">
      <alignment horizontal="center" vertical="center" wrapText="1"/>
    </xf>
    <xf numFmtId="0" fontId="10" fillId="13" borderId="27" xfId="0" applyFont="1" applyFill="1" applyBorder="1" applyAlignment="1">
      <alignment horizontal="center" vertical="center" wrapText="1"/>
    </xf>
    <xf numFmtId="0" fontId="10" fillId="13" borderId="29" xfId="0" applyFont="1" applyFill="1" applyBorder="1" applyAlignment="1">
      <alignment horizontal="center" vertical="center" wrapText="1"/>
    </xf>
    <xf numFmtId="0" fontId="10" fillId="13" borderId="28" xfId="0" applyFont="1" applyFill="1" applyBorder="1" applyAlignment="1">
      <alignment horizontal="center" vertical="center" wrapText="1"/>
    </xf>
    <xf numFmtId="0" fontId="21" fillId="18" borderId="15" xfId="0" applyFont="1" applyFill="1" applyBorder="1" applyAlignment="1">
      <alignment horizontal="center" vertical="center" wrapText="1"/>
    </xf>
    <xf numFmtId="0" fontId="21" fillId="18" borderId="18" xfId="0" applyFont="1" applyFill="1" applyBorder="1" applyAlignment="1">
      <alignment horizontal="center" vertical="center" wrapText="1"/>
    </xf>
    <xf numFmtId="0" fontId="21" fillId="18" borderId="20" xfId="0" applyFont="1" applyFill="1" applyBorder="1" applyAlignment="1">
      <alignment horizontal="center" vertical="center" wrapText="1"/>
    </xf>
    <xf numFmtId="0" fontId="21" fillId="2" borderId="0" xfId="0" applyFont="1" applyFill="1" applyAlignment="1">
      <alignment horizontal="center" vertical="center"/>
    </xf>
    <xf numFmtId="0" fontId="10" fillId="19" borderId="27" xfId="0" applyFont="1" applyFill="1" applyBorder="1" applyAlignment="1">
      <alignment horizontal="center" vertical="center" wrapText="1"/>
    </xf>
    <xf numFmtId="0" fontId="10" fillId="19" borderId="29" xfId="0" applyFont="1" applyFill="1" applyBorder="1" applyAlignment="1">
      <alignment horizontal="center" vertical="center" wrapText="1"/>
    </xf>
    <xf numFmtId="0" fontId="10" fillId="19" borderId="28" xfId="0" applyFont="1" applyFill="1" applyBorder="1" applyAlignment="1">
      <alignment horizontal="center" vertical="center" wrapText="1"/>
    </xf>
    <xf numFmtId="0" fontId="21" fillId="18" borderId="27" xfId="0" applyFont="1" applyFill="1" applyBorder="1" applyAlignment="1">
      <alignment horizontal="center" vertical="center" wrapText="1"/>
    </xf>
    <xf numFmtId="0" fontId="21" fillId="18" borderId="29" xfId="0" applyFont="1" applyFill="1" applyBorder="1" applyAlignment="1">
      <alignment horizontal="center" vertical="center" wrapText="1"/>
    </xf>
    <xf numFmtId="0" fontId="21" fillId="18" borderId="28" xfId="0" applyFont="1" applyFill="1" applyBorder="1" applyAlignment="1">
      <alignment horizontal="center" vertical="center" wrapText="1"/>
    </xf>
    <xf numFmtId="0" fontId="72" fillId="21" borderId="54" xfId="8" applyFont="1" applyFill="1" applyBorder="1" applyAlignment="1">
      <alignment horizontal="center" vertical="center" wrapText="1"/>
    </xf>
    <xf numFmtId="0" fontId="37" fillId="5" borderId="21" xfId="0" applyFont="1" applyFill="1" applyBorder="1" applyAlignment="1">
      <alignment horizontal="center" vertical="center"/>
    </xf>
    <xf numFmtId="0" fontId="11" fillId="21" borderId="0" xfId="0" applyFont="1" applyFill="1" applyAlignment="1">
      <alignment horizontal="left" vertical="center" wrapText="1"/>
    </xf>
    <xf numFmtId="0" fontId="20" fillId="21" borderId="54" xfId="8" applyFont="1" applyFill="1" applyBorder="1" applyAlignment="1">
      <alignment horizontal="center" vertical="center" wrapText="1"/>
    </xf>
    <xf numFmtId="0" fontId="67" fillId="21" borderId="0" xfId="0" applyFont="1" applyFill="1" applyAlignment="1">
      <alignment horizontal="left" vertical="top" wrapText="1"/>
    </xf>
    <xf numFmtId="0" fontId="26" fillId="21" borderId="0" xfId="0" applyFont="1" applyFill="1" applyAlignment="1">
      <alignment horizontal="left" vertical="center" wrapText="1" indent="2"/>
    </xf>
    <xf numFmtId="0" fontId="26" fillId="21" borderId="0" xfId="0" applyFont="1" applyFill="1" applyAlignment="1">
      <alignment horizontal="left" vertical="top" wrapText="1" indent="2"/>
    </xf>
    <xf numFmtId="175" fontId="22" fillId="38" borderId="0" xfId="0" applyNumberFormat="1" applyFont="1" applyFill="1" applyAlignment="1">
      <alignment horizontal="right" vertical="center"/>
    </xf>
    <xf numFmtId="175" fontId="22" fillId="38" borderId="0" xfId="0" applyNumberFormat="1" applyFont="1" applyFill="1" applyAlignment="1">
      <alignment horizontal="center" vertical="center"/>
    </xf>
  </cellXfs>
  <cellStyles count="14">
    <cellStyle name="Comma [0]" xfId="1" builtinId="6"/>
    <cellStyle name="Comma 2" xfId="13" xr:uid="{4A0A0541-C279-8E40-B0F0-82A50628C8EF}"/>
    <cellStyle name="Comma 32" xfId="4" xr:uid="{94B993BD-6F65-8442-95F0-7F09334244FC}"/>
    <cellStyle name="Heading 1" xfId="9" xr:uid="{A7251856-8C9F-4299-B6E6-D37FC1D25F01}"/>
    <cellStyle name="Hyperlink" xfId="8" builtinId="8"/>
    <cellStyle name="Millares [0] 2" xfId="6" xr:uid="{DDBDEB6A-68FE-4943-AF6E-FE388707D537}"/>
    <cellStyle name="Normal" xfId="0" builtinId="0"/>
    <cellStyle name="Normal 10 2" xfId="3" xr:uid="{E9F30098-B94F-8B46-8F1D-19AA7C05577A}"/>
    <cellStyle name="Normal 2" xfId="10" xr:uid="{1F4D2E54-535B-4D05-A957-7D02CC10F4C7}"/>
    <cellStyle name="Normal 2 2" xfId="7" xr:uid="{8EDCD698-30AE-4342-899E-56AD0BE08E75}"/>
    <cellStyle name="Normal 3" xfId="11" xr:uid="{13B3DB71-7E56-9347-BB1C-29E0778BD9FA}"/>
    <cellStyle name="Normal_Desesta. 4-13 2" xfId="5" xr:uid="{42B5F1D6-DA26-8A49-B3A9-152B1F369D29}"/>
    <cellStyle name="Percent" xfId="2" builtinId="5"/>
    <cellStyle name="Percent 2" xfId="12" xr:uid="{210B27CE-9C95-9242-A742-CB5210178436}"/>
  </cellStyles>
  <dxfs count="0"/>
  <tableStyles count="0" defaultTableStyle="TableStyleMedium2" defaultPivotStyle="PivotStyleLight16"/>
  <colors>
    <mruColors>
      <color rgb="FF4396DB"/>
      <color rgb="FF003E6B"/>
      <color rgb="FF0432FF"/>
      <color rgb="FF4074C8"/>
      <color rgb="FF67829F"/>
      <color rgb="FFD4D3D2"/>
      <color rgb="FFEE291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rgbClr val="003E6B"/>
                </a:solidFill>
                <a:latin typeface="Helvetica" pitchFamily="2" charset="0"/>
                <a:ea typeface="+mn-ea"/>
                <a:cs typeface="+mn-cs"/>
              </a:defRPr>
            </a:pPr>
            <a:r>
              <a:rPr lang="en-US" b="1"/>
              <a:t>Deuda Neta del GNC</a:t>
            </a:r>
          </a:p>
          <a:p>
            <a:pPr>
              <a:defRPr/>
            </a:pPr>
            <a:r>
              <a:rPr lang="en-US"/>
              <a:t>(% del PIB)</a:t>
            </a:r>
          </a:p>
        </c:rich>
      </c:tx>
      <c:overlay val="0"/>
      <c:spPr>
        <a:noFill/>
        <a:ln>
          <a:noFill/>
        </a:ln>
        <a:effectLst/>
      </c:spPr>
      <c:txPr>
        <a:bodyPr rot="0" spcFirstLastPara="1" vertOverflow="ellipsis" vert="horz" wrap="square" anchor="ctr" anchorCtr="1"/>
        <a:lstStyle/>
        <a:p>
          <a:pPr>
            <a:defRPr sz="1440" b="0" i="0" u="none" strike="noStrike" kern="1200" spc="0" baseline="0">
              <a:solidFill>
                <a:srgbClr val="003E6B"/>
              </a:solidFill>
              <a:latin typeface="Helvetica" pitchFamily="2" charset="0"/>
              <a:ea typeface="+mn-ea"/>
              <a:cs typeface="+mn-cs"/>
            </a:defRPr>
          </a:pPr>
          <a:endParaRPr lang="en-CO"/>
        </a:p>
      </c:txPr>
    </c:title>
    <c:autoTitleDeleted val="0"/>
    <c:plotArea>
      <c:layout>
        <c:manualLayout>
          <c:layoutTarget val="inner"/>
          <c:xMode val="edge"/>
          <c:yMode val="edge"/>
          <c:x val="1.4928789276090816E-2"/>
          <c:y val="6.7213114754098358E-2"/>
          <c:w val="0.96801529103479667"/>
          <c:h val="0.75508945398218663"/>
        </c:manualLayout>
      </c:layout>
      <c:barChart>
        <c:barDir val="col"/>
        <c:grouping val="stacked"/>
        <c:varyColors val="0"/>
        <c:ser>
          <c:idx val="2"/>
          <c:order val="1"/>
          <c:tx>
            <c:v>Interna</c:v>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rgbClr val="003E6B"/>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Gráficos!$B$5:$AK$5</c:f>
              <c:numCache>
                <c:formatCode>General</c:formatCode>
                <c:ptCount val="36"/>
                <c:pt idx="0">
                  <c:v>1999</c:v>
                </c:pt>
                <c:pt idx="1">
                  <c:v>2000</c:v>
                </c:pt>
                <c:pt idx="2">
                  <c:v>2001</c:v>
                </c:pt>
                <c:pt idx="3">
                  <c:v>2002</c:v>
                </c:pt>
                <c:pt idx="4">
                  <c:v>2003</c:v>
                </c:pt>
                <c:pt idx="5">
                  <c:v>2004</c:v>
                </c:pt>
                <c:pt idx="6">
                  <c:v>2005</c:v>
                </c:pt>
                <c:pt idx="7">
                  <c:v>2006</c:v>
                </c:pt>
                <c:pt idx="8">
                  <c:v>2007</c:v>
                </c:pt>
                <c:pt idx="9">
                  <c:v>2008</c:v>
                </c:pt>
                <c:pt idx="10">
                  <c:v>2009</c:v>
                </c:pt>
                <c:pt idx="11">
                  <c:v>2010</c:v>
                </c:pt>
                <c:pt idx="12">
                  <c:v>2011</c:v>
                </c:pt>
                <c:pt idx="13">
                  <c:v>2012</c:v>
                </c:pt>
                <c:pt idx="14">
                  <c:v>2013</c:v>
                </c:pt>
                <c:pt idx="15">
                  <c:v>2014</c:v>
                </c:pt>
                <c:pt idx="16">
                  <c:v>2015</c:v>
                </c:pt>
                <c:pt idx="17">
                  <c:v>2016</c:v>
                </c:pt>
                <c:pt idx="18">
                  <c:v>2017</c:v>
                </c:pt>
                <c:pt idx="19">
                  <c:v>2018</c:v>
                </c:pt>
                <c:pt idx="20">
                  <c:v>2019</c:v>
                </c:pt>
                <c:pt idx="21">
                  <c:v>2020</c:v>
                </c:pt>
                <c:pt idx="22">
                  <c:v>2021</c:v>
                </c:pt>
                <c:pt idx="23">
                  <c:v>2022</c:v>
                </c:pt>
                <c:pt idx="24">
                  <c:v>2023</c:v>
                </c:pt>
                <c:pt idx="25">
                  <c:v>2024</c:v>
                </c:pt>
                <c:pt idx="26">
                  <c:v>2025</c:v>
                </c:pt>
                <c:pt idx="27">
                  <c:v>2026</c:v>
                </c:pt>
                <c:pt idx="28">
                  <c:v>2027</c:v>
                </c:pt>
                <c:pt idx="29">
                  <c:v>2028</c:v>
                </c:pt>
                <c:pt idx="30">
                  <c:v>2029</c:v>
                </c:pt>
                <c:pt idx="31">
                  <c:v>2030</c:v>
                </c:pt>
                <c:pt idx="32">
                  <c:v>2031</c:v>
                </c:pt>
                <c:pt idx="33">
                  <c:v>2032</c:v>
                </c:pt>
                <c:pt idx="34">
                  <c:v>2033</c:v>
                </c:pt>
                <c:pt idx="35">
                  <c:v>2034</c:v>
                </c:pt>
              </c:numCache>
            </c:numRef>
          </c:cat>
          <c:val>
            <c:numRef>
              <c:f>Gráficos!$B$11:$AK$11</c:f>
              <c:numCache>
                <c:formatCode>0.0</c:formatCode>
                <c:ptCount val="36"/>
                <c:pt idx="0">
                  <c:v>18.935565586753082</c:v>
                </c:pt>
                <c:pt idx="1">
                  <c:v>20.792511049887729</c:v>
                </c:pt>
                <c:pt idx="2">
                  <c:v>21.69778702162526</c:v>
                </c:pt>
                <c:pt idx="3">
                  <c:v>25.019090765696312</c:v>
                </c:pt>
                <c:pt idx="4">
                  <c:v>24.642275114724697</c:v>
                </c:pt>
                <c:pt idx="5">
                  <c:v>24.688262973523194</c:v>
                </c:pt>
                <c:pt idx="6">
                  <c:v>27.281511230694399</c:v>
                </c:pt>
                <c:pt idx="7">
                  <c:v>25.588178220707647</c:v>
                </c:pt>
                <c:pt idx="8">
                  <c:v>24.845123933978254</c:v>
                </c:pt>
                <c:pt idx="9">
                  <c:v>24.078962486639877</c:v>
                </c:pt>
                <c:pt idx="10">
                  <c:v>25.6300410696639</c:v>
                </c:pt>
                <c:pt idx="11">
                  <c:v>26.569212594698637</c:v>
                </c:pt>
                <c:pt idx="12">
                  <c:v>24.538100375393331</c:v>
                </c:pt>
                <c:pt idx="13">
                  <c:v>24.398754999474995</c:v>
                </c:pt>
                <c:pt idx="14">
                  <c:v>24.86875956288829</c:v>
                </c:pt>
                <c:pt idx="15">
                  <c:v>25.262990139287815</c:v>
                </c:pt>
                <c:pt idx="16">
                  <c:v>26.360604589432612</c:v>
                </c:pt>
                <c:pt idx="17">
                  <c:v>28.625058541699467</c:v>
                </c:pt>
                <c:pt idx="18">
                  <c:v>29.127676048746498</c:v>
                </c:pt>
                <c:pt idx="19">
                  <c:v>30.641158898012783</c:v>
                </c:pt>
                <c:pt idx="20">
                  <c:v>33.028538758320643</c:v>
                </c:pt>
                <c:pt idx="21">
                  <c:v>39.120462662588132</c:v>
                </c:pt>
                <c:pt idx="22">
                  <c:v>36.138214769784717</c:v>
                </c:pt>
                <c:pt idx="23">
                  <c:v>33.817764134673709</c:v>
                </c:pt>
                <c:pt idx="24">
                  <c:v>31.608817064063881</c:v>
                </c:pt>
                <c:pt idx="25">
                  <c:v>0</c:v>
                </c:pt>
                <c:pt idx="26">
                  <c:v>0</c:v>
                </c:pt>
                <c:pt idx="27">
                  <c:v>0</c:v>
                </c:pt>
                <c:pt idx="28">
                  <c:v>0</c:v>
                </c:pt>
                <c:pt idx="29">
                  <c:v>0</c:v>
                </c:pt>
                <c:pt idx="30">
                  <c:v>0</c:v>
                </c:pt>
                <c:pt idx="31">
                  <c:v>0</c:v>
                </c:pt>
                <c:pt idx="32">
                  <c:v>0</c:v>
                </c:pt>
                <c:pt idx="33">
                  <c:v>0</c:v>
                </c:pt>
                <c:pt idx="34">
                  <c:v>0</c:v>
                </c:pt>
                <c:pt idx="35">
                  <c:v>0</c:v>
                </c:pt>
              </c:numCache>
            </c:numRef>
          </c:val>
          <c:extLst>
            <c:ext xmlns:c16="http://schemas.microsoft.com/office/drawing/2014/chart" uri="{C3380CC4-5D6E-409C-BE32-E72D297353CC}">
              <c16:uniqueId val="{00000000-7586-D948-BC36-5DDFF5045A84}"/>
            </c:ext>
          </c:extLst>
        </c:ser>
        <c:ser>
          <c:idx val="4"/>
          <c:order val="2"/>
          <c:tx>
            <c:v>Externa</c:v>
          </c:tx>
          <c:spPr>
            <a:solidFill>
              <a:schemeClr val="accent5"/>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rgbClr val="003E6B"/>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Gráficos!$B$5:$AK$5</c:f>
              <c:numCache>
                <c:formatCode>General</c:formatCode>
                <c:ptCount val="36"/>
                <c:pt idx="0">
                  <c:v>1999</c:v>
                </c:pt>
                <c:pt idx="1">
                  <c:v>2000</c:v>
                </c:pt>
                <c:pt idx="2">
                  <c:v>2001</c:v>
                </c:pt>
                <c:pt idx="3">
                  <c:v>2002</c:v>
                </c:pt>
                <c:pt idx="4">
                  <c:v>2003</c:v>
                </c:pt>
                <c:pt idx="5">
                  <c:v>2004</c:v>
                </c:pt>
                <c:pt idx="6">
                  <c:v>2005</c:v>
                </c:pt>
                <c:pt idx="7">
                  <c:v>2006</c:v>
                </c:pt>
                <c:pt idx="8">
                  <c:v>2007</c:v>
                </c:pt>
                <c:pt idx="9">
                  <c:v>2008</c:v>
                </c:pt>
                <c:pt idx="10">
                  <c:v>2009</c:v>
                </c:pt>
                <c:pt idx="11">
                  <c:v>2010</c:v>
                </c:pt>
                <c:pt idx="12">
                  <c:v>2011</c:v>
                </c:pt>
                <c:pt idx="13">
                  <c:v>2012</c:v>
                </c:pt>
                <c:pt idx="14">
                  <c:v>2013</c:v>
                </c:pt>
                <c:pt idx="15">
                  <c:v>2014</c:v>
                </c:pt>
                <c:pt idx="16">
                  <c:v>2015</c:v>
                </c:pt>
                <c:pt idx="17">
                  <c:v>2016</c:v>
                </c:pt>
                <c:pt idx="18">
                  <c:v>2017</c:v>
                </c:pt>
                <c:pt idx="19">
                  <c:v>2018</c:v>
                </c:pt>
                <c:pt idx="20">
                  <c:v>2019</c:v>
                </c:pt>
                <c:pt idx="21">
                  <c:v>2020</c:v>
                </c:pt>
                <c:pt idx="22">
                  <c:v>2021</c:v>
                </c:pt>
                <c:pt idx="23">
                  <c:v>2022</c:v>
                </c:pt>
                <c:pt idx="24">
                  <c:v>2023</c:v>
                </c:pt>
                <c:pt idx="25">
                  <c:v>2024</c:v>
                </c:pt>
                <c:pt idx="26">
                  <c:v>2025</c:v>
                </c:pt>
                <c:pt idx="27">
                  <c:v>2026</c:v>
                </c:pt>
                <c:pt idx="28">
                  <c:v>2027</c:v>
                </c:pt>
                <c:pt idx="29">
                  <c:v>2028</c:v>
                </c:pt>
                <c:pt idx="30">
                  <c:v>2029</c:v>
                </c:pt>
                <c:pt idx="31">
                  <c:v>2030</c:v>
                </c:pt>
                <c:pt idx="32">
                  <c:v>2031</c:v>
                </c:pt>
                <c:pt idx="33">
                  <c:v>2032</c:v>
                </c:pt>
                <c:pt idx="34">
                  <c:v>2033</c:v>
                </c:pt>
                <c:pt idx="35">
                  <c:v>2034</c:v>
                </c:pt>
              </c:numCache>
            </c:numRef>
          </c:cat>
          <c:val>
            <c:numRef>
              <c:f>Gráficos!$B$12:$AK$12</c:f>
              <c:numCache>
                <c:formatCode>0.0</c:formatCode>
                <c:ptCount val="36"/>
                <c:pt idx="0">
                  <c:v>14.009242280515959</c:v>
                </c:pt>
                <c:pt idx="1">
                  <c:v>15.189045005013663</c:v>
                </c:pt>
                <c:pt idx="2">
                  <c:v>17.18850953911771</c:v>
                </c:pt>
                <c:pt idx="3">
                  <c:v>21.275617510528257</c:v>
                </c:pt>
                <c:pt idx="4">
                  <c:v>20.538594320161359</c:v>
                </c:pt>
                <c:pt idx="5">
                  <c:v>16.757567789493784</c:v>
                </c:pt>
                <c:pt idx="6">
                  <c:v>13.161461415677897</c:v>
                </c:pt>
                <c:pt idx="7">
                  <c:v>12.631434973351388</c:v>
                </c:pt>
                <c:pt idx="8">
                  <c:v>10.902062549188628</c:v>
                </c:pt>
                <c:pt idx="9">
                  <c:v>11.182167254507753</c:v>
                </c:pt>
                <c:pt idx="10">
                  <c:v>10.916974947016875</c:v>
                </c:pt>
                <c:pt idx="11">
                  <c:v>10.423894007938069</c:v>
                </c:pt>
                <c:pt idx="12">
                  <c:v>9.8570490492226295</c:v>
                </c:pt>
                <c:pt idx="13">
                  <c:v>8.76952894194247</c:v>
                </c:pt>
                <c:pt idx="14">
                  <c:v>9.318813911826771</c:v>
                </c:pt>
                <c:pt idx="15">
                  <c:v>11.445894820305821</c:v>
                </c:pt>
                <c:pt idx="16">
                  <c:v>15.411764698506328</c:v>
                </c:pt>
                <c:pt idx="17">
                  <c:v>14.541946460886832</c:v>
                </c:pt>
                <c:pt idx="18">
                  <c:v>14.657865518399102</c:v>
                </c:pt>
                <c:pt idx="19">
                  <c:v>15.702553938596514</c:v>
                </c:pt>
                <c:pt idx="20">
                  <c:v>15.360776083718095</c:v>
                </c:pt>
                <c:pt idx="21">
                  <c:v>21.580959873427201</c:v>
                </c:pt>
                <c:pt idx="22">
                  <c:v>23.916879780528017</c:v>
                </c:pt>
                <c:pt idx="23">
                  <c:v>24.125693196134556</c:v>
                </c:pt>
                <c:pt idx="24">
                  <c:v>0</c:v>
                </c:pt>
                <c:pt idx="25">
                  <c:v>0</c:v>
                </c:pt>
                <c:pt idx="26">
                  <c:v>0</c:v>
                </c:pt>
                <c:pt idx="27">
                  <c:v>0</c:v>
                </c:pt>
                <c:pt idx="28">
                  <c:v>0</c:v>
                </c:pt>
                <c:pt idx="29">
                  <c:v>0</c:v>
                </c:pt>
                <c:pt idx="30">
                  <c:v>0</c:v>
                </c:pt>
                <c:pt idx="31">
                  <c:v>0</c:v>
                </c:pt>
                <c:pt idx="32">
                  <c:v>0</c:v>
                </c:pt>
                <c:pt idx="33">
                  <c:v>0</c:v>
                </c:pt>
                <c:pt idx="34">
                  <c:v>0</c:v>
                </c:pt>
                <c:pt idx="35">
                  <c:v>0</c:v>
                </c:pt>
              </c:numCache>
            </c:numRef>
          </c:val>
          <c:extLst>
            <c:ext xmlns:c16="http://schemas.microsoft.com/office/drawing/2014/chart" uri="{C3380CC4-5D6E-409C-BE32-E72D297353CC}">
              <c16:uniqueId val="{00000001-7586-D948-BC36-5DDFF5045A84}"/>
            </c:ext>
          </c:extLst>
        </c:ser>
        <c:dLbls>
          <c:showLegendKey val="0"/>
          <c:showVal val="0"/>
          <c:showCatName val="0"/>
          <c:showSerName val="0"/>
          <c:showPercent val="0"/>
          <c:showBubbleSize val="0"/>
        </c:dLbls>
        <c:gapWidth val="24"/>
        <c:overlap val="100"/>
        <c:axId val="253015120"/>
        <c:axId val="253603552"/>
      </c:barChart>
      <c:lineChart>
        <c:grouping val="standard"/>
        <c:varyColors val="0"/>
        <c:ser>
          <c:idx val="0"/>
          <c:order val="0"/>
          <c:tx>
            <c:v>Deuda neta total</c:v>
          </c:tx>
          <c:spPr>
            <a:ln w="22225" cap="rnd">
              <a:solidFill>
                <a:srgbClr val="003E6B"/>
              </a:solidFill>
              <a:round/>
            </a:ln>
            <a:effectLst/>
          </c:spPr>
          <c:marker>
            <c:symbol val="none"/>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003E6B"/>
                    </a:solidFill>
                    <a:latin typeface="Helvetica" pitchFamily="2" charset="0"/>
                    <a:ea typeface="+mn-ea"/>
                    <a:cs typeface="+mn-cs"/>
                  </a:defRPr>
                </a:pPr>
                <a:endParaRPr lang="en-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Gráficos!$B$5:$AK$5</c:f>
              <c:numCache>
                <c:formatCode>General</c:formatCode>
                <c:ptCount val="36"/>
                <c:pt idx="0">
                  <c:v>1999</c:v>
                </c:pt>
                <c:pt idx="1">
                  <c:v>2000</c:v>
                </c:pt>
                <c:pt idx="2">
                  <c:v>2001</c:v>
                </c:pt>
                <c:pt idx="3">
                  <c:v>2002</c:v>
                </c:pt>
                <c:pt idx="4">
                  <c:v>2003</c:v>
                </c:pt>
                <c:pt idx="5">
                  <c:v>2004</c:v>
                </c:pt>
                <c:pt idx="6">
                  <c:v>2005</c:v>
                </c:pt>
                <c:pt idx="7">
                  <c:v>2006</c:v>
                </c:pt>
                <c:pt idx="8">
                  <c:v>2007</c:v>
                </c:pt>
                <c:pt idx="9">
                  <c:v>2008</c:v>
                </c:pt>
                <c:pt idx="10">
                  <c:v>2009</c:v>
                </c:pt>
                <c:pt idx="11">
                  <c:v>2010</c:v>
                </c:pt>
                <c:pt idx="12">
                  <c:v>2011</c:v>
                </c:pt>
                <c:pt idx="13">
                  <c:v>2012</c:v>
                </c:pt>
                <c:pt idx="14">
                  <c:v>2013</c:v>
                </c:pt>
                <c:pt idx="15">
                  <c:v>2014</c:v>
                </c:pt>
                <c:pt idx="16">
                  <c:v>2015</c:v>
                </c:pt>
                <c:pt idx="17">
                  <c:v>2016</c:v>
                </c:pt>
                <c:pt idx="18">
                  <c:v>2017</c:v>
                </c:pt>
                <c:pt idx="19">
                  <c:v>2018</c:v>
                </c:pt>
                <c:pt idx="20">
                  <c:v>2019</c:v>
                </c:pt>
                <c:pt idx="21">
                  <c:v>2020</c:v>
                </c:pt>
                <c:pt idx="22">
                  <c:v>2021</c:v>
                </c:pt>
                <c:pt idx="23">
                  <c:v>2022</c:v>
                </c:pt>
                <c:pt idx="24">
                  <c:v>2023</c:v>
                </c:pt>
                <c:pt idx="25">
                  <c:v>2024</c:v>
                </c:pt>
                <c:pt idx="26">
                  <c:v>2025</c:v>
                </c:pt>
                <c:pt idx="27">
                  <c:v>2026</c:v>
                </c:pt>
                <c:pt idx="28">
                  <c:v>2027</c:v>
                </c:pt>
                <c:pt idx="29">
                  <c:v>2028</c:v>
                </c:pt>
                <c:pt idx="30">
                  <c:v>2029</c:v>
                </c:pt>
                <c:pt idx="31">
                  <c:v>2030</c:v>
                </c:pt>
                <c:pt idx="32">
                  <c:v>2031</c:v>
                </c:pt>
                <c:pt idx="33">
                  <c:v>2032</c:v>
                </c:pt>
                <c:pt idx="34">
                  <c:v>2033</c:v>
                </c:pt>
                <c:pt idx="35">
                  <c:v>2034</c:v>
                </c:pt>
              </c:numCache>
            </c:numRef>
          </c:cat>
          <c:val>
            <c:numRef>
              <c:f>Gráficos!$B$10:$AK$10</c:f>
              <c:numCache>
                <c:formatCode>0.0</c:formatCode>
                <c:ptCount val="36"/>
                <c:pt idx="0">
                  <c:v>32.944807867269041</c:v>
                </c:pt>
                <c:pt idx="1">
                  <c:v>35.98155605490139</c:v>
                </c:pt>
                <c:pt idx="2">
                  <c:v>38.88629656074297</c:v>
                </c:pt>
                <c:pt idx="3">
                  <c:v>46.294708276224569</c:v>
                </c:pt>
                <c:pt idx="4">
                  <c:v>45.180869434886056</c:v>
                </c:pt>
                <c:pt idx="5">
                  <c:v>41.445830763016986</c:v>
                </c:pt>
                <c:pt idx="6">
                  <c:v>40.442972646372297</c:v>
                </c:pt>
                <c:pt idx="7">
                  <c:v>38.219613194059036</c:v>
                </c:pt>
                <c:pt idx="8">
                  <c:v>35.747186483166885</c:v>
                </c:pt>
                <c:pt idx="9">
                  <c:v>35.261129741147627</c:v>
                </c:pt>
                <c:pt idx="10">
                  <c:v>36.547016016680772</c:v>
                </c:pt>
                <c:pt idx="11">
                  <c:v>36.993106602636708</c:v>
                </c:pt>
                <c:pt idx="12">
                  <c:v>34.395149424615958</c:v>
                </c:pt>
                <c:pt idx="13">
                  <c:v>33.168283941417471</c:v>
                </c:pt>
                <c:pt idx="14">
                  <c:v>34.187573474715059</c:v>
                </c:pt>
                <c:pt idx="15">
                  <c:v>36.708884959593632</c:v>
                </c:pt>
                <c:pt idx="16">
                  <c:v>41.772369287938936</c:v>
                </c:pt>
                <c:pt idx="17">
                  <c:v>43.167005002586293</c:v>
                </c:pt>
                <c:pt idx="18">
                  <c:v>43.7855415671456</c:v>
                </c:pt>
                <c:pt idx="19">
                  <c:v>46.343712836609299</c:v>
                </c:pt>
                <c:pt idx="20">
                  <c:v>48.389314842038736</c:v>
                </c:pt>
                <c:pt idx="21">
                  <c:v>60.701422536015329</c:v>
                </c:pt>
                <c:pt idx="22">
                  <c:v>60.055094550312738</c:v>
                </c:pt>
                <c:pt idx="23">
                  <c:v>57.943457330808265</c:v>
                </c:pt>
                <c:pt idx="24">
                  <c:v>0</c:v>
                </c:pt>
                <c:pt idx="25">
                  <c:v>0</c:v>
                </c:pt>
                <c:pt idx="26">
                  <c:v>0</c:v>
                </c:pt>
                <c:pt idx="27">
                  <c:v>0</c:v>
                </c:pt>
                <c:pt idx="28">
                  <c:v>0</c:v>
                </c:pt>
                <c:pt idx="29">
                  <c:v>0</c:v>
                </c:pt>
                <c:pt idx="30">
                  <c:v>0</c:v>
                </c:pt>
                <c:pt idx="31">
                  <c:v>0</c:v>
                </c:pt>
                <c:pt idx="32">
                  <c:v>0</c:v>
                </c:pt>
                <c:pt idx="33">
                  <c:v>0</c:v>
                </c:pt>
                <c:pt idx="34">
                  <c:v>0</c:v>
                </c:pt>
                <c:pt idx="35">
                  <c:v>0</c:v>
                </c:pt>
              </c:numCache>
            </c:numRef>
          </c:val>
          <c:smooth val="0"/>
          <c:extLst>
            <c:ext xmlns:c16="http://schemas.microsoft.com/office/drawing/2014/chart" uri="{C3380CC4-5D6E-409C-BE32-E72D297353CC}">
              <c16:uniqueId val="{00000002-7586-D948-BC36-5DDFF5045A84}"/>
            </c:ext>
          </c:extLst>
        </c:ser>
        <c:dLbls>
          <c:showLegendKey val="0"/>
          <c:showVal val="0"/>
          <c:showCatName val="0"/>
          <c:showSerName val="0"/>
          <c:showPercent val="0"/>
          <c:showBubbleSize val="0"/>
        </c:dLbls>
        <c:marker val="1"/>
        <c:smooth val="0"/>
        <c:axId val="253015120"/>
        <c:axId val="253603552"/>
      </c:lineChart>
      <c:catAx>
        <c:axId val="253015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200" b="0" i="0" u="none" strike="noStrike" kern="1200" baseline="0">
                <a:solidFill>
                  <a:srgbClr val="003E6B"/>
                </a:solidFill>
                <a:latin typeface="Helvetica" pitchFamily="2" charset="0"/>
                <a:ea typeface="+mn-ea"/>
                <a:cs typeface="+mn-cs"/>
              </a:defRPr>
            </a:pPr>
            <a:endParaRPr lang="en-CO"/>
          </a:p>
        </c:txPr>
        <c:crossAx val="253603552"/>
        <c:crosses val="autoZero"/>
        <c:auto val="1"/>
        <c:lblAlgn val="ctr"/>
        <c:lblOffset val="100"/>
        <c:noMultiLvlLbl val="1"/>
      </c:catAx>
      <c:valAx>
        <c:axId val="253603552"/>
        <c:scaling>
          <c:orientation val="minMax"/>
          <c:max val="75"/>
          <c:min val="0"/>
        </c:scaling>
        <c:delete val="1"/>
        <c:axPos val="l"/>
        <c:numFmt formatCode="#,##0" sourceLinked="0"/>
        <c:majorTickMark val="out"/>
        <c:minorTickMark val="none"/>
        <c:tickLblPos val="nextTo"/>
        <c:crossAx val="253015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rgbClr val="003E6B"/>
              </a:solidFill>
              <a:latin typeface="Helvetica" pitchFamily="2" charset="0"/>
              <a:ea typeface="+mn-ea"/>
              <a:cs typeface="+mn-cs"/>
            </a:defRPr>
          </a:pPr>
          <a:endParaRPr lang="en-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rgbClr val="003E6B"/>
          </a:solidFill>
          <a:latin typeface="Helvetica" pitchFamily="2" charset="0"/>
        </a:defRPr>
      </a:pPr>
      <a:endParaRPr lang="en-CO"/>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solidFill>
                <a:latin typeface="Helvetica" pitchFamily="2" charset="0"/>
                <a:ea typeface="+mn-ea"/>
                <a:cs typeface="+mn-cs"/>
              </a:defRPr>
            </a:pPr>
            <a:r>
              <a:rPr lang="en-US" sz="1400" b="1">
                <a:solidFill>
                  <a:srgbClr val="4396DB"/>
                </a:solidFill>
              </a:rPr>
              <a:t>Balance Primario Neto Estructural</a:t>
            </a:r>
          </a:p>
          <a:p>
            <a:pPr>
              <a:defRPr/>
            </a:pPr>
            <a:r>
              <a:rPr lang="en-US" sz="1200">
                <a:solidFill>
                  <a:srgbClr val="4396DB"/>
                </a:solidFill>
              </a:rPr>
              <a:t>(%</a:t>
            </a:r>
            <a:r>
              <a:rPr lang="en-US" sz="1200" baseline="0">
                <a:solidFill>
                  <a:srgbClr val="4396DB"/>
                </a:solidFill>
              </a:rPr>
              <a:t> del PIB)</a:t>
            </a:r>
            <a:endParaRPr lang="en-US" sz="1200">
              <a:solidFill>
                <a:srgbClr val="4396DB"/>
              </a:solidFill>
            </a:endParaRP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solidFill>
              <a:latin typeface="Helvetica" pitchFamily="2" charset="0"/>
              <a:ea typeface="+mn-ea"/>
              <a:cs typeface="+mn-cs"/>
            </a:defRPr>
          </a:pPr>
          <a:endParaRPr lang="en-CO"/>
        </a:p>
      </c:txPr>
    </c:title>
    <c:autoTitleDeleted val="0"/>
    <c:plotArea>
      <c:layout/>
      <c:barChart>
        <c:barDir val="col"/>
        <c:grouping val="clustered"/>
        <c:varyColors val="0"/>
        <c:ser>
          <c:idx val="0"/>
          <c:order val="2"/>
          <c:tx>
            <c:strRef>
              <c:f>'Cumplimiento de la regla'!$A$24</c:f>
              <c:strCache>
                <c:ptCount val="1"/>
                <c:pt idx="0">
                  <c:v>BPNE (Observado/Proyectado)</c:v>
                </c:pt>
              </c:strCache>
            </c:strRef>
          </c:tx>
          <c:spPr>
            <a:solidFill>
              <a:srgbClr val="0070C0"/>
            </a:solidFill>
            <a:ln>
              <a:noFill/>
            </a:ln>
            <a:effectLst/>
          </c:spPr>
          <c:invertIfNegative val="0"/>
          <c:cat>
            <c:numRef>
              <c:f>'Cumplimiento de la regla'!$B$18:$N$18</c:f>
              <c:numCache>
                <c:formatCode>General</c:formatCode>
                <c:ptCount val="13"/>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numCache>
            </c:numRef>
          </c:cat>
          <c:val>
            <c:numRef>
              <c:f>'Cumplimiento de la regla'!$B$24:$N$24</c:f>
              <c:numCache>
                <c:formatCode>#,##0.0</c:formatCode>
                <c:ptCount val="13"/>
                <c:pt idx="0">
                  <c:v>-1.6856070225871735</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203F-B742-A358-5AEFF442770D}"/>
            </c:ext>
          </c:extLst>
        </c:ser>
        <c:dLbls>
          <c:showLegendKey val="0"/>
          <c:showVal val="0"/>
          <c:showCatName val="0"/>
          <c:showSerName val="0"/>
          <c:showPercent val="0"/>
          <c:showBubbleSize val="0"/>
        </c:dLbls>
        <c:gapWidth val="80"/>
        <c:overlap val="-27"/>
        <c:axId val="1548832560"/>
        <c:axId val="1670912560"/>
      </c:barChart>
      <c:lineChart>
        <c:grouping val="standard"/>
        <c:varyColors val="0"/>
        <c:ser>
          <c:idx val="3"/>
          <c:order val="0"/>
          <c:tx>
            <c:strRef>
              <c:f>'Cumplimiento de la regla'!$A$29</c:f>
              <c:strCache>
                <c:ptCount val="1"/>
                <c:pt idx="0">
                  <c:v>Meta de la regla en la transición</c:v>
                </c:pt>
              </c:strCache>
            </c:strRef>
          </c:tx>
          <c:spPr>
            <a:ln w="28575" cap="rnd">
              <a:noFill/>
              <a:round/>
            </a:ln>
            <a:effectLst/>
          </c:spPr>
          <c:marker>
            <c:symbol val="circle"/>
            <c:size val="10"/>
            <c:spPr>
              <a:solidFill>
                <a:srgbClr val="C00000"/>
              </a:solidFill>
              <a:ln w="9525">
                <a:noFill/>
              </a:ln>
              <a:effectLst/>
            </c:spPr>
          </c:marker>
          <c:cat>
            <c:numRef>
              <c:f>'Cumplimiento de la regla'!$B$18:$N$18</c:f>
              <c:numCache>
                <c:formatCode>General</c:formatCode>
                <c:ptCount val="13"/>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numCache>
            </c:numRef>
          </c:cat>
          <c:val>
            <c:numRef>
              <c:f>'Cumplimiento de la regla'!$B$29:$N$29</c:f>
              <c:numCache>
                <c:formatCode>#,##0.0</c:formatCode>
                <c:ptCount val="13"/>
                <c:pt idx="0">
                  <c:v>-4.700000000000002</c:v>
                </c:pt>
                <c:pt idx="1">
                  <c:v>-1.4000000000000008</c:v>
                </c:pt>
                <c:pt idx="2">
                  <c:v>-0.2</c:v>
                </c:pt>
                <c:pt idx="3">
                  <c:v>0.5</c:v>
                </c:pt>
              </c:numCache>
            </c:numRef>
          </c:val>
          <c:smooth val="0"/>
          <c:extLst>
            <c:ext xmlns:c16="http://schemas.microsoft.com/office/drawing/2014/chart" uri="{C3380CC4-5D6E-409C-BE32-E72D297353CC}">
              <c16:uniqueId val="{00000003-203F-B742-A358-5AEFF442770D}"/>
            </c:ext>
          </c:extLst>
        </c:ser>
        <c:ser>
          <c:idx val="2"/>
          <c:order val="1"/>
          <c:tx>
            <c:strRef>
              <c:f>'Cumplimiento de la regla'!$A$28</c:f>
              <c:strCache>
                <c:ptCount val="1"/>
                <c:pt idx="0">
                  <c:v>Meta de la regla con fórmula</c:v>
                </c:pt>
              </c:strCache>
            </c:strRef>
          </c:tx>
          <c:spPr>
            <a:ln w="28575" cap="rnd">
              <a:noFill/>
              <a:round/>
            </a:ln>
            <a:effectLst/>
          </c:spPr>
          <c:marker>
            <c:symbol val="diamond"/>
            <c:size val="10"/>
            <c:spPr>
              <a:solidFill>
                <a:schemeClr val="tx1"/>
              </a:solidFill>
              <a:ln w="9525">
                <a:noFill/>
              </a:ln>
              <a:effectLst/>
            </c:spPr>
          </c:marker>
          <c:cat>
            <c:numRef>
              <c:f>'Cumplimiento de la regla'!$B$18:$N$18</c:f>
              <c:numCache>
                <c:formatCode>General</c:formatCode>
                <c:ptCount val="13"/>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numCache>
            </c:numRef>
          </c:cat>
          <c:val>
            <c:numRef>
              <c:f>'Cumplimiento de la regla'!$B$28:$N$28</c:f>
              <c:numCache>
                <c:formatCode>#,##0.0</c:formatCode>
                <c:ptCount val="13"/>
                <c:pt idx="0">
                  <c:v>0.70550945503127394</c:v>
                </c:pt>
                <c:pt idx="1">
                  <c:v>0.49434573308082652</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2-203F-B742-A358-5AEFF442770D}"/>
            </c:ext>
          </c:extLst>
        </c:ser>
        <c:dLbls>
          <c:showLegendKey val="0"/>
          <c:showVal val="0"/>
          <c:showCatName val="0"/>
          <c:showSerName val="0"/>
          <c:showPercent val="0"/>
          <c:showBubbleSize val="0"/>
        </c:dLbls>
        <c:marker val="1"/>
        <c:smooth val="0"/>
        <c:axId val="1548832560"/>
        <c:axId val="1670912560"/>
      </c:lineChart>
      <c:catAx>
        <c:axId val="154883256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Helvetica" pitchFamily="2" charset="0"/>
                <a:ea typeface="+mn-ea"/>
                <a:cs typeface="+mn-cs"/>
              </a:defRPr>
            </a:pPr>
            <a:endParaRPr lang="en-CO"/>
          </a:p>
        </c:txPr>
        <c:crossAx val="1670912560"/>
        <c:crosses val="autoZero"/>
        <c:auto val="1"/>
        <c:lblAlgn val="ctr"/>
        <c:lblOffset val="100"/>
        <c:noMultiLvlLbl val="0"/>
      </c:catAx>
      <c:valAx>
        <c:axId val="1670912560"/>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Helvetica" pitchFamily="2" charset="0"/>
                <a:ea typeface="+mn-ea"/>
                <a:cs typeface="+mn-cs"/>
              </a:defRPr>
            </a:pPr>
            <a:endParaRPr lang="en-CO"/>
          </a:p>
        </c:txPr>
        <c:crossAx val="1548832560"/>
        <c:crosses val="autoZero"/>
        <c:crossBetween val="between"/>
      </c:valAx>
      <c:spPr>
        <a:noFill/>
        <a:ln>
          <a:noFill/>
        </a:ln>
        <a:effectLst/>
      </c:spPr>
    </c:plotArea>
    <c:legend>
      <c:legendPos val="b"/>
      <c:layout>
        <c:manualLayout>
          <c:xMode val="edge"/>
          <c:yMode val="edge"/>
          <c:x val="6.8002916666666677E-2"/>
          <c:y val="0.8580066666666667"/>
          <c:w val="0.88516083333333329"/>
          <c:h val="0.12082666666666667"/>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Helvetica" pitchFamily="2" charset="0"/>
              <a:ea typeface="+mn-ea"/>
              <a:cs typeface="+mn-cs"/>
            </a:defRPr>
          </a:pPr>
          <a:endParaRPr lang="en-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chemeClr val="tx1"/>
          </a:solidFill>
          <a:latin typeface="Helvetica" pitchFamily="2" charset="0"/>
        </a:defRPr>
      </a:pPr>
      <a:endParaRPr lang="en-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kern="1200" spc="0" baseline="0">
                <a:solidFill>
                  <a:srgbClr val="4396DB"/>
                </a:solidFill>
                <a:latin typeface="Helvetica" pitchFamily="2" charset="0"/>
              </a:rPr>
              <a:t>Deuda Neta</a:t>
            </a:r>
          </a:p>
          <a:p>
            <a:pPr>
              <a:defRPr/>
            </a:pPr>
            <a:r>
              <a:rPr lang="en-US" sz="1200" b="0" i="0" u="none" strike="noStrike" kern="1200" spc="0" baseline="0">
                <a:solidFill>
                  <a:srgbClr val="4396DB"/>
                </a:solidFill>
                <a:latin typeface="Helvetica" pitchFamily="2" charset="0"/>
              </a:rPr>
              <a:t>(% del PIB)</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CO"/>
        </a:p>
      </c:txPr>
    </c:title>
    <c:autoTitleDeleted val="0"/>
    <c:plotArea>
      <c:layout>
        <c:manualLayout>
          <c:layoutTarget val="inner"/>
          <c:xMode val="edge"/>
          <c:yMode val="edge"/>
          <c:x val="5.1025000000000001E-2"/>
          <c:y val="0.12345472222222224"/>
          <c:w val="0.92957222222222224"/>
          <c:h val="0.67564361111111115"/>
        </c:manualLayout>
      </c:layout>
      <c:lineChart>
        <c:grouping val="standard"/>
        <c:varyColors val="0"/>
        <c:ser>
          <c:idx val="0"/>
          <c:order val="0"/>
          <c:tx>
            <c:strRef>
              <c:f>'Cumplimiento de la regla'!$A$12</c:f>
              <c:strCache>
                <c:ptCount val="1"/>
                <c:pt idx="0">
                  <c:v>Deuda neta proyectada </c:v>
                </c:pt>
              </c:strCache>
            </c:strRef>
          </c:tx>
          <c:spPr>
            <a:ln w="28575" cap="rnd">
              <a:solidFill>
                <a:schemeClr val="accent1">
                  <a:lumMod val="50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accent1">
                        <a:lumMod val="50000"/>
                      </a:schemeClr>
                    </a:solidFill>
                    <a:latin typeface="Helvetica" pitchFamily="2" charset="0"/>
                    <a:ea typeface="+mn-ea"/>
                    <a:cs typeface="+mn-cs"/>
                  </a:defRPr>
                </a:pPr>
                <a:endParaRPr lang="en-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'Cumplimiento de la regla'!$B$11:$N$11</c:f>
              <c:numCache>
                <c:formatCode>General</c:formatCode>
                <c:ptCount val="13"/>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numCache>
            </c:numRef>
          </c:cat>
          <c:val>
            <c:numRef>
              <c:f>'Cumplimiento de la regla'!$B$12:$N$12</c:f>
              <c:numCache>
                <c:formatCode>#,##0.0</c:formatCode>
                <c:ptCount val="13"/>
                <c:pt idx="0">
                  <c:v>57.943457330808265</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0-526D-8241-AFF9-9CC666B467A3}"/>
            </c:ext>
          </c:extLst>
        </c:ser>
        <c:ser>
          <c:idx val="1"/>
          <c:order val="1"/>
          <c:tx>
            <c:strRef>
              <c:f>'Cumplimiento de la regla'!$A$13</c:f>
              <c:strCache>
                <c:ptCount val="1"/>
                <c:pt idx="0">
                  <c:v>Ancla</c:v>
                </c:pt>
              </c:strCache>
            </c:strRef>
          </c:tx>
          <c:spPr>
            <a:ln w="22225" cap="rnd">
              <a:solidFill>
                <a:schemeClr val="accent6"/>
              </a:solidFill>
              <a:prstDash val="sysDash"/>
              <a:round/>
            </a:ln>
            <a:effectLst/>
          </c:spPr>
          <c:marker>
            <c:symbol val="none"/>
          </c:marker>
          <c:cat>
            <c:numRef>
              <c:f>'Cumplimiento de la regla'!$B$11:$N$11</c:f>
              <c:numCache>
                <c:formatCode>General</c:formatCode>
                <c:ptCount val="13"/>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numCache>
            </c:numRef>
          </c:cat>
          <c:val>
            <c:numRef>
              <c:f>'Cumplimiento de la regla'!$B$13:$N$13</c:f>
              <c:numCache>
                <c:formatCode>#,##0.0</c:formatCode>
                <c:ptCount val="13"/>
                <c:pt idx="0">
                  <c:v>55</c:v>
                </c:pt>
                <c:pt idx="1">
                  <c:v>55</c:v>
                </c:pt>
                <c:pt idx="2">
                  <c:v>55</c:v>
                </c:pt>
                <c:pt idx="3">
                  <c:v>55</c:v>
                </c:pt>
                <c:pt idx="4">
                  <c:v>55</c:v>
                </c:pt>
                <c:pt idx="5">
                  <c:v>55</c:v>
                </c:pt>
                <c:pt idx="6">
                  <c:v>55</c:v>
                </c:pt>
                <c:pt idx="7">
                  <c:v>55</c:v>
                </c:pt>
                <c:pt idx="8">
                  <c:v>55</c:v>
                </c:pt>
                <c:pt idx="9">
                  <c:v>55</c:v>
                </c:pt>
                <c:pt idx="10">
                  <c:v>55</c:v>
                </c:pt>
                <c:pt idx="11">
                  <c:v>55</c:v>
                </c:pt>
                <c:pt idx="12">
                  <c:v>55</c:v>
                </c:pt>
              </c:numCache>
            </c:numRef>
          </c:val>
          <c:smooth val="0"/>
          <c:extLst>
            <c:ext xmlns:c16="http://schemas.microsoft.com/office/drawing/2014/chart" uri="{C3380CC4-5D6E-409C-BE32-E72D297353CC}">
              <c16:uniqueId val="{00000001-526D-8241-AFF9-9CC666B467A3}"/>
            </c:ext>
          </c:extLst>
        </c:ser>
        <c:ser>
          <c:idx val="2"/>
          <c:order val="2"/>
          <c:tx>
            <c:strRef>
              <c:f>'Cumplimiento de la regla'!$A$14</c:f>
              <c:strCache>
                <c:ptCount val="1"/>
                <c:pt idx="0">
                  <c:v>Límite</c:v>
                </c:pt>
              </c:strCache>
            </c:strRef>
          </c:tx>
          <c:spPr>
            <a:ln w="22225" cap="rnd">
              <a:solidFill>
                <a:srgbClr val="C00000"/>
              </a:solidFill>
              <a:prstDash val="sysDash"/>
              <a:round/>
            </a:ln>
            <a:effectLst/>
          </c:spPr>
          <c:marker>
            <c:symbol val="none"/>
          </c:marker>
          <c:cat>
            <c:numRef>
              <c:f>'Cumplimiento de la regla'!$B$11:$N$11</c:f>
              <c:numCache>
                <c:formatCode>General</c:formatCode>
                <c:ptCount val="13"/>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numCache>
            </c:numRef>
          </c:cat>
          <c:val>
            <c:numRef>
              <c:f>'Cumplimiento de la regla'!$B$14:$N$14</c:f>
              <c:numCache>
                <c:formatCode>#,##0.0</c:formatCode>
                <c:ptCount val="13"/>
                <c:pt idx="0">
                  <c:v>71</c:v>
                </c:pt>
                <c:pt idx="1">
                  <c:v>71</c:v>
                </c:pt>
                <c:pt idx="2">
                  <c:v>71</c:v>
                </c:pt>
                <c:pt idx="3">
                  <c:v>71</c:v>
                </c:pt>
                <c:pt idx="4">
                  <c:v>71</c:v>
                </c:pt>
                <c:pt idx="5">
                  <c:v>71</c:v>
                </c:pt>
                <c:pt idx="6">
                  <c:v>71</c:v>
                </c:pt>
                <c:pt idx="7">
                  <c:v>71</c:v>
                </c:pt>
                <c:pt idx="8">
                  <c:v>71</c:v>
                </c:pt>
                <c:pt idx="9">
                  <c:v>71</c:v>
                </c:pt>
                <c:pt idx="10">
                  <c:v>71</c:v>
                </c:pt>
                <c:pt idx="11">
                  <c:v>71</c:v>
                </c:pt>
                <c:pt idx="12">
                  <c:v>71</c:v>
                </c:pt>
              </c:numCache>
            </c:numRef>
          </c:val>
          <c:smooth val="0"/>
          <c:extLst>
            <c:ext xmlns:c16="http://schemas.microsoft.com/office/drawing/2014/chart" uri="{C3380CC4-5D6E-409C-BE32-E72D297353CC}">
              <c16:uniqueId val="{00000002-526D-8241-AFF9-9CC666B467A3}"/>
            </c:ext>
          </c:extLst>
        </c:ser>
        <c:dLbls>
          <c:showLegendKey val="0"/>
          <c:showVal val="0"/>
          <c:showCatName val="0"/>
          <c:showSerName val="0"/>
          <c:showPercent val="0"/>
          <c:showBubbleSize val="0"/>
        </c:dLbls>
        <c:smooth val="0"/>
        <c:axId val="111984207"/>
        <c:axId val="2123245456"/>
      </c:lineChart>
      <c:catAx>
        <c:axId val="1119842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Helvetica" pitchFamily="2" charset="0"/>
                <a:ea typeface="+mn-ea"/>
                <a:cs typeface="+mn-cs"/>
              </a:defRPr>
            </a:pPr>
            <a:endParaRPr lang="en-CO"/>
          </a:p>
        </c:txPr>
        <c:crossAx val="2123245456"/>
        <c:crosses val="autoZero"/>
        <c:auto val="1"/>
        <c:lblAlgn val="ctr"/>
        <c:lblOffset val="100"/>
        <c:noMultiLvlLbl val="0"/>
      </c:catAx>
      <c:valAx>
        <c:axId val="2123245456"/>
        <c:scaling>
          <c:orientation val="minMax"/>
          <c:max val="72"/>
          <c:min val="45"/>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Helvetica" pitchFamily="2" charset="0"/>
                <a:ea typeface="+mn-ea"/>
                <a:cs typeface="+mn-cs"/>
              </a:defRPr>
            </a:pPr>
            <a:endParaRPr lang="en-CO"/>
          </a:p>
        </c:txPr>
        <c:crossAx val="111984207"/>
        <c:crosses val="autoZero"/>
        <c:crossBetween val="between"/>
      </c:valAx>
      <c:spPr>
        <a:noFill/>
        <a:ln>
          <a:noFill/>
        </a:ln>
        <a:effectLst/>
      </c:spPr>
    </c:plotArea>
    <c:legend>
      <c:legendPos val="b"/>
      <c:layout>
        <c:manualLayout>
          <c:xMode val="edge"/>
          <c:yMode val="edge"/>
          <c:x val="2.9389444444444444E-2"/>
          <c:y val="0.87388166666666667"/>
          <c:w val="0.93769333333333338"/>
          <c:h val="0.10495166666666667"/>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Helvetica" pitchFamily="2" charset="0"/>
              <a:ea typeface="+mn-ea"/>
              <a:cs typeface="+mn-cs"/>
            </a:defRPr>
          </a:pPr>
          <a:endParaRPr lang="en-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rgbClr val="003E6B"/>
                </a:solidFill>
                <a:latin typeface="Helvetica" pitchFamily="2" charset="0"/>
                <a:ea typeface="+mn-ea"/>
                <a:cs typeface="+mn-cs"/>
              </a:defRPr>
            </a:pPr>
            <a:r>
              <a:rPr lang="en-US" sz="1600" b="1"/>
              <a:t>Deuda Neta del GNC</a:t>
            </a:r>
            <a:endParaRPr lang="en-US" sz="1600" b="0"/>
          </a:p>
          <a:p>
            <a:pPr>
              <a:defRPr b="1"/>
            </a:pPr>
            <a:r>
              <a:rPr lang="en-US" sz="1200" b="0"/>
              <a:t>(% del PIB)</a:t>
            </a:r>
          </a:p>
        </c:rich>
      </c:tx>
      <c:overlay val="0"/>
      <c:spPr>
        <a:noFill/>
        <a:ln>
          <a:noFill/>
        </a:ln>
        <a:effectLst/>
      </c:spPr>
      <c:txPr>
        <a:bodyPr rot="0" spcFirstLastPara="1" vertOverflow="ellipsis" vert="horz" wrap="square" anchor="ctr" anchorCtr="1"/>
        <a:lstStyle/>
        <a:p>
          <a:pPr>
            <a:defRPr sz="1440" b="1" i="0" u="none" strike="noStrike" kern="1200" spc="0" baseline="0">
              <a:solidFill>
                <a:srgbClr val="003E6B"/>
              </a:solidFill>
              <a:latin typeface="Helvetica" pitchFamily="2" charset="0"/>
              <a:ea typeface="+mn-ea"/>
              <a:cs typeface="+mn-cs"/>
            </a:defRPr>
          </a:pPr>
          <a:endParaRPr lang="en-CO"/>
        </a:p>
      </c:txPr>
    </c:title>
    <c:autoTitleDeleted val="0"/>
    <c:plotArea>
      <c:layout>
        <c:manualLayout>
          <c:layoutTarget val="inner"/>
          <c:xMode val="edge"/>
          <c:yMode val="edge"/>
          <c:x val="1.9625334522747548E-2"/>
          <c:y val="8.4053601340033521E-2"/>
          <c:w val="0.96074933095450488"/>
          <c:h val="0.76627019612498182"/>
        </c:manualLayout>
      </c:layout>
      <c:lineChart>
        <c:grouping val="standard"/>
        <c:varyColors val="0"/>
        <c:ser>
          <c:idx val="2"/>
          <c:order val="0"/>
          <c:tx>
            <c:strRef>
              <c:f>Gráficos!$A$10</c:f>
              <c:strCache>
                <c:ptCount val="1"/>
                <c:pt idx="0">
                  <c:v>Deuda neta proyectada</c:v>
                </c:pt>
              </c:strCache>
            </c:strRef>
          </c:tx>
          <c:spPr>
            <a:ln w="28575" cap="rnd">
              <a:solidFill>
                <a:schemeClr val="accent2"/>
              </a:solidFill>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0-B735-425E-BD94-5C0D9183854D}"/>
                </c:ext>
              </c:extLst>
            </c:dLbl>
            <c:dLbl>
              <c:idx val="1"/>
              <c:layout>
                <c:manualLayout>
                  <c:x val="-2.8998143202493415E-2"/>
                  <c:y val="-0.1008405946915267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3A0-8345-B07C-8CA9BA0EAB9B}"/>
                </c:ext>
              </c:extLst>
            </c:dLbl>
            <c:dLbl>
              <c:idx val="12"/>
              <c:layout>
                <c:manualLayout>
                  <c:x val="-1.4971091515488203E-2"/>
                  <c:y val="3.583934990104117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C6E-3643-A7B8-641B4773FDFC}"/>
                </c:ext>
              </c:extLst>
            </c:dLbl>
            <c:spPr>
              <a:noFill/>
              <a:ln>
                <a:noFill/>
              </a:ln>
              <a:effectLst/>
            </c:spPr>
            <c:txPr>
              <a:bodyPr rot="0" spcFirstLastPara="1" vertOverflow="ellipsis" vert="horz" wrap="square" anchor="ctr" anchorCtr="1"/>
              <a:lstStyle/>
              <a:p>
                <a:pPr>
                  <a:defRPr sz="1200" b="1" i="0" u="none" strike="noStrike" kern="1200" baseline="0">
                    <a:solidFill>
                      <a:schemeClr val="accent2"/>
                    </a:solidFill>
                    <a:latin typeface="Helvetica" pitchFamily="2" charset="0"/>
                    <a:ea typeface="+mn-ea"/>
                    <a:cs typeface="+mn-cs"/>
                  </a:defRPr>
                </a:pPr>
                <a:endParaRPr lang="en-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Gráficos!$Y$5:$AK$5</c:f>
              <c:numCache>
                <c:formatCode>General</c:formatCode>
                <c:ptCount val="13"/>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numCache>
            </c:numRef>
          </c:cat>
          <c:val>
            <c:numRef>
              <c:f>Gráficos!$Y$10:$AK$10</c:f>
              <c:numCache>
                <c:formatCode>0.0</c:formatCode>
                <c:ptCount val="13"/>
                <c:pt idx="0">
                  <c:v>57.943457330808265</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13-FCE3-4305-93BE-D32003B12C25}"/>
            </c:ext>
          </c:extLst>
        </c:ser>
        <c:ser>
          <c:idx val="1"/>
          <c:order val="1"/>
          <c:tx>
            <c:strRef>
              <c:f>Gráficos!$A$13</c:f>
              <c:strCache>
                <c:ptCount val="1"/>
                <c:pt idx="0">
                  <c:v>MFMP 2023</c:v>
                </c:pt>
              </c:strCache>
            </c:strRef>
          </c:tx>
          <c:spPr>
            <a:ln w="28575" cap="rnd">
              <a:solidFill>
                <a:schemeClr val="accent1"/>
              </a:solidFill>
              <a:round/>
            </a:ln>
            <a:effectLst/>
          </c:spPr>
          <c:marker>
            <c:symbol val="none"/>
          </c:marker>
          <c:dLbls>
            <c:dLbl>
              <c:idx val="0"/>
              <c:layout>
                <c:manualLayout>
                  <c:x val="-3.0585288094994081E-2"/>
                  <c:y val="-3.466395442521233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D7E-1B4A-99C1-3323E51391F5}"/>
                </c:ext>
              </c:extLst>
            </c:dLbl>
            <c:dLbl>
              <c:idx val="12"/>
              <c:layout>
                <c:manualLayout>
                  <c:x val="-8.4562555312197585E-3"/>
                  <c:y val="-2.6610958266893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FAB-C446-A120-06C8E3DBF478}"/>
                </c:ext>
              </c:extLst>
            </c:dLbl>
            <c:spPr>
              <a:noFill/>
              <a:ln>
                <a:noFill/>
              </a:ln>
              <a:effectLst/>
            </c:spPr>
            <c:txPr>
              <a:bodyPr rot="0" spcFirstLastPara="1" vertOverflow="ellipsis" vert="horz" wrap="square" anchor="ctr" anchorCtr="1"/>
              <a:lstStyle/>
              <a:p>
                <a:pPr>
                  <a:defRPr sz="1200" b="1" i="0" u="none" strike="noStrike" kern="1200" baseline="0">
                    <a:solidFill>
                      <a:srgbClr val="0070C0"/>
                    </a:solidFill>
                    <a:latin typeface="Helvetica" pitchFamily="2" charset="0"/>
                    <a:ea typeface="+mn-ea"/>
                    <a:cs typeface="+mn-cs"/>
                  </a:defRPr>
                </a:pPr>
                <a:endParaRPr lang="en-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Gráficos!$Y$5:$AK$5</c:f>
              <c:numCache>
                <c:formatCode>General</c:formatCode>
                <c:ptCount val="13"/>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numCache>
            </c:numRef>
          </c:cat>
          <c:val>
            <c:numRef>
              <c:f>Gráficos!$Y$13:$AK$13</c:f>
              <c:numCache>
                <c:formatCode>0.0</c:formatCode>
                <c:ptCount val="13"/>
                <c:pt idx="0">
                  <c:v>57.943457330808265</c:v>
                </c:pt>
                <c:pt idx="1">
                  <c:v>55.784469384006272</c:v>
                </c:pt>
                <c:pt idx="2">
                  <c:v>57.14839640675288</c:v>
                </c:pt>
                <c:pt idx="3">
                  <c:v>57.049483495540862</c:v>
                </c:pt>
                <c:pt idx="4">
                  <c:v>56.941456617808313</c:v>
                </c:pt>
                <c:pt idx="5">
                  <c:v>56.727230912716898</c:v>
                </c:pt>
                <c:pt idx="6">
                  <c:v>56.559744024883017</c:v>
                </c:pt>
                <c:pt idx="7">
                  <c:v>56.284369956437061</c:v>
                </c:pt>
                <c:pt idx="8">
                  <c:v>55.950961757737907</c:v>
                </c:pt>
                <c:pt idx="9">
                  <c:v>55.686947622871521</c:v>
                </c:pt>
                <c:pt idx="10">
                  <c:v>55.510444968822547</c:v>
                </c:pt>
                <c:pt idx="11">
                  <c:v>55.168044850895072</c:v>
                </c:pt>
                <c:pt idx="12">
                  <c:v>54.950357966158393</c:v>
                </c:pt>
              </c:numCache>
            </c:numRef>
          </c:val>
          <c:smooth val="0"/>
          <c:extLst>
            <c:ext xmlns:c16="http://schemas.microsoft.com/office/drawing/2014/chart" uri="{C3380CC4-5D6E-409C-BE32-E72D297353CC}">
              <c16:uniqueId val="{00000009-FCE3-4305-93BE-D32003B12C25}"/>
            </c:ext>
          </c:extLst>
        </c:ser>
        <c:dLbls>
          <c:showLegendKey val="0"/>
          <c:showVal val="0"/>
          <c:showCatName val="0"/>
          <c:showSerName val="0"/>
          <c:showPercent val="0"/>
          <c:showBubbleSize val="0"/>
        </c:dLbls>
        <c:smooth val="0"/>
        <c:axId val="592469535"/>
        <c:axId val="593406943"/>
      </c:lineChart>
      <c:catAx>
        <c:axId val="592469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rgbClr val="003E6B"/>
                </a:solidFill>
                <a:latin typeface="Helvetica" pitchFamily="2" charset="0"/>
                <a:ea typeface="+mn-ea"/>
                <a:cs typeface="+mn-cs"/>
              </a:defRPr>
            </a:pPr>
            <a:endParaRPr lang="en-CO"/>
          </a:p>
        </c:txPr>
        <c:crossAx val="593406943"/>
        <c:crosses val="autoZero"/>
        <c:auto val="1"/>
        <c:lblAlgn val="ctr"/>
        <c:lblOffset val="100"/>
        <c:noMultiLvlLbl val="0"/>
      </c:catAx>
      <c:valAx>
        <c:axId val="593406943"/>
        <c:scaling>
          <c:orientation val="minMax"/>
          <c:max val="59"/>
          <c:min val="50"/>
        </c:scaling>
        <c:delete val="0"/>
        <c:axPos val="l"/>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rgbClr val="003E6B"/>
                </a:solidFill>
                <a:latin typeface="Helvetica" pitchFamily="2" charset="0"/>
                <a:ea typeface="+mn-ea"/>
                <a:cs typeface="+mn-cs"/>
              </a:defRPr>
            </a:pPr>
            <a:endParaRPr lang="en-CO"/>
          </a:p>
        </c:txPr>
        <c:crossAx val="5924695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rgbClr val="003E6B"/>
              </a:solidFill>
              <a:latin typeface="Helvetica" pitchFamily="2" charset="0"/>
              <a:ea typeface="+mn-ea"/>
              <a:cs typeface="+mn-cs"/>
            </a:defRPr>
          </a:pPr>
          <a:endParaRPr lang="en-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rgbClr val="003E6B"/>
          </a:solidFill>
          <a:latin typeface="Helvetica" pitchFamily="2" charset="0"/>
        </a:defRPr>
      </a:pPr>
      <a:endParaRPr lang="en-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rgbClr val="003E6B"/>
                </a:solidFill>
                <a:latin typeface="Helvetica" pitchFamily="2" charset="0"/>
                <a:ea typeface="+mn-ea"/>
                <a:cs typeface="+mn-cs"/>
              </a:defRPr>
            </a:pPr>
            <a:r>
              <a:rPr lang="es-CO" b="1"/>
              <a:t>Cupón promedio</a:t>
            </a:r>
          </a:p>
        </c:rich>
      </c:tx>
      <c:overlay val="0"/>
      <c:spPr>
        <a:noFill/>
        <a:ln>
          <a:noFill/>
        </a:ln>
        <a:effectLst/>
      </c:spPr>
      <c:txPr>
        <a:bodyPr rot="0" spcFirstLastPara="1" vertOverflow="ellipsis" vert="horz" wrap="square" anchor="ctr" anchorCtr="1"/>
        <a:lstStyle/>
        <a:p>
          <a:pPr>
            <a:defRPr sz="1440" b="1" i="0" u="none" strike="noStrike" kern="1200" spc="0" baseline="0">
              <a:solidFill>
                <a:srgbClr val="003E6B"/>
              </a:solidFill>
              <a:latin typeface="Helvetica" pitchFamily="2" charset="0"/>
              <a:ea typeface="+mn-ea"/>
              <a:cs typeface="+mn-cs"/>
            </a:defRPr>
          </a:pPr>
          <a:endParaRPr lang="en-CO"/>
        </a:p>
      </c:txPr>
    </c:title>
    <c:autoTitleDeleted val="0"/>
    <c:plotArea>
      <c:layout>
        <c:manualLayout>
          <c:layoutTarget val="inner"/>
          <c:xMode val="edge"/>
          <c:yMode val="edge"/>
          <c:x val="1.7371867041218968E-2"/>
          <c:y val="5.2632677647441437E-2"/>
          <c:w val="0.96988369932340113"/>
          <c:h val="0.73199271781591624"/>
        </c:manualLayout>
      </c:layout>
      <c:lineChart>
        <c:grouping val="standard"/>
        <c:varyColors val="0"/>
        <c:ser>
          <c:idx val="0"/>
          <c:order val="0"/>
          <c:tx>
            <c:strRef>
              <c:f>'Dinámica de la deuda'!$A$32</c:f>
              <c:strCache>
                <c:ptCount val="1"/>
                <c:pt idx="0">
                  <c:v>Cupón interno MH</c:v>
                </c:pt>
              </c:strCache>
            </c:strRef>
          </c:tx>
          <c:spPr>
            <a:ln w="22225" cap="rnd">
              <a:solidFill>
                <a:schemeClr val="accent1"/>
              </a:solidFill>
              <a:round/>
            </a:ln>
            <a:effectLst/>
          </c:spPr>
          <c:marker>
            <c:symbol val="none"/>
          </c:marker>
          <c:dLbls>
            <c:numFmt formatCode="#,##0.0" sourceLinked="0"/>
            <c:spPr>
              <a:noFill/>
              <a:ln>
                <a:noFill/>
              </a:ln>
              <a:effectLst/>
            </c:spPr>
            <c:txPr>
              <a:bodyPr rot="0" spcFirstLastPara="1" vertOverflow="ellipsis" vert="horz" wrap="square" anchor="ctr" anchorCtr="1"/>
              <a:lstStyle/>
              <a:p>
                <a:pPr>
                  <a:defRPr sz="1100" b="1" i="0" u="none" strike="noStrike" kern="1200" baseline="0">
                    <a:solidFill>
                      <a:srgbClr val="003E6B"/>
                    </a:solidFill>
                    <a:latin typeface="Helvetica" pitchFamily="2" charset="0"/>
                    <a:ea typeface="+mn-ea"/>
                    <a:cs typeface="+mn-cs"/>
                  </a:defRPr>
                </a:pPr>
                <a:endParaRPr lang="en-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deuda'!$E$31:$AJ$31</c:f>
              <c:numCache>
                <c:formatCode>0</c:formatCode>
                <c:ptCount val="32"/>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pt idx="20">
                  <c:v>2022</c:v>
                </c:pt>
                <c:pt idx="21">
                  <c:v>2023</c:v>
                </c:pt>
                <c:pt idx="22">
                  <c:v>2024</c:v>
                </c:pt>
                <c:pt idx="23">
                  <c:v>2025</c:v>
                </c:pt>
                <c:pt idx="24">
                  <c:v>2026</c:v>
                </c:pt>
                <c:pt idx="25">
                  <c:v>2027</c:v>
                </c:pt>
                <c:pt idx="26">
                  <c:v>2028</c:v>
                </c:pt>
                <c:pt idx="27">
                  <c:v>2029</c:v>
                </c:pt>
                <c:pt idx="28">
                  <c:v>2030</c:v>
                </c:pt>
                <c:pt idx="29">
                  <c:v>2031</c:v>
                </c:pt>
                <c:pt idx="30">
                  <c:v>2032</c:v>
                </c:pt>
                <c:pt idx="31">
                  <c:v>2033</c:v>
                </c:pt>
              </c:numCache>
            </c:numRef>
          </c:cat>
          <c:val>
            <c:numRef>
              <c:f>'Dinámica de la deuda'!$E$32:$AJ$32</c:f>
              <c:numCache>
                <c:formatCode>#,##0.0</c:formatCode>
                <c:ptCount val="32"/>
                <c:pt idx="0">
                  <c:v>12.291591551997881</c:v>
                </c:pt>
                <c:pt idx="1">
                  <c:v>13.584888961592931</c:v>
                </c:pt>
                <c:pt idx="2">
                  <c:v>12.024921522464126</c:v>
                </c:pt>
                <c:pt idx="3">
                  <c:v>11.688620594447857</c:v>
                </c:pt>
                <c:pt idx="4">
                  <c:v>11.464893810830784</c:v>
                </c:pt>
                <c:pt idx="5">
                  <c:v>11.211168519435184</c:v>
                </c:pt>
                <c:pt idx="6">
                  <c:v>10.798210772061696</c:v>
                </c:pt>
                <c:pt idx="7">
                  <c:v>9.8100682557695293</c:v>
                </c:pt>
                <c:pt idx="8">
                  <c:v>8.6058235655693043</c:v>
                </c:pt>
                <c:pt idx="9">
                  <c:v>8.8443583594185409</c:v>
                </c:pt>
                <c:pt idx="10">
                  <c:v>8.8155810589497001</c:v>
                </c:pt>
                <c:pt idx="11">
                  <c:v>8.086803031186939</c:v>
                </c:pt>
                <c:pt idx="12">
                  <c:v>7.9042645983919035</c:v>
                </c:pt>
                <c:pt idx="13">
                  <c:v>8.260427633058482</c:v>
                </c:pt>
                <c:pt idx="14">
                  <c:v>9.2940439515709947</c:v>
                </c:pt>
                <c:pt idx="15">
                  <c:v>8.1506334766633231</c:v>
                </c:pt>
                <c:pt idx="16">
                  <c:v>7.662767359881685</c:v>
                </c:pt>
                <c:pt idx="17">
                  <c:v>7.6237035019652062</c:v>
                </c:pt>
                <c:pt idx="18">
                  <c:v>7.0602430157959626</c:v>
                </c:pt>
                <c:pt idx="19">
                  <c:v>7.1469813176470396</c:v>
                </c:pt>
                <c:pt idx="20">
                  <c:v>9.65</c:v>
                </c:pt>
              </c:numCache>
            </c:numRef>
          </c:val>
          <c:smooth val="0"/>
          <c:extLst>
            <c:ext xmlns:c16="http://schemas.microsoft.com/office/drawing/2014/chart" uri="{C3380CC4-5D6E-409C-BE32-E72D297353CC}">
              <c16:uniqueId val="{00000005-CA34-484E-88B1-F80496547E9E}"/>
            </c:ext>
          </c:extLst>
        </c:ser>
        <c:ser>
          <c:idx val="1"/>
          <c:order val="1"/>
          <c:tx>
            <c:strRef>
              <c:f>'Dinámica de la deuda'!$A$33</c:f>
              <c:strCache>
                <c:ptCount val="1"/>
                <c:pt idx="0">
                  <c:v>Cupón externo MHCP</c:v>
                </c:pt>
              </c:strCache>
            </c:strRef>
          </c:tx>
          <c:spPr>
            <a:ln w="22225" cap="rnd">
              <a:solidFill>
                <a:srgbClr val="C00000"/>
              </a:solidFill>
              <a:round/>
            </a:ln>
            <a:effectLst/>
          </c:spPr>
          <c:marker>
            <c:symbol val="none"/>
          </c:marker>
          <c:dLbls>
            <c:dLbl>
              <c:idx val="19"/>
              <c:layout>
                <c:manualLayout>
                  <c:x val="-2.7744833992533725E-2"/>
                  <c:y val="1.866215207194327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974-1042-9BC3-BD4D3EA2F907}"/>
                </c:ext>
              </c:extLst>
            </c:dLbl>
            <c:dLbl>
              <c:idx val="20"/>
              <c:layout>
                <c:manualLayout>
                  <c:x val="-2.3138094731283282E-2"/>
                  <c:y val="3.997070329673452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974-1042-9BC3-BD4D3EA2F907}"/>
                </c:ext>
              </c:extLst>
            </c:dLbl>
            <c:numFmt formatCode="#,##0.0" sourceLinked="0"/>
            <c:spPr>
              <a:noFill/>
              <a:ln>
                <a:noFill/>
              </a:ln>
              <a:effectLst/>
            </c:spPr>
            <c:txPr>
              <a:bodyPr rot="0" spcFirstLastPara="1" vertOverflow="ellipsis" vert="horz" wrap="square" anchor="ctr" anchorCtr="1"/>
              <a:lstStyle/>
              <a:p>
                <a:pPr>
                  <a:defRPr sz="1100" b="1" i="0" u="none" strike="noStrike" kern="1200" baseline="0">
                    <a:solidFill>
                      <a:srgbClr val="C00000"/>
                    </a:solidFill>
                    <a:latin typeface="Helvetica" pitchFamily="2" charset="0"/>
                    <a:ea typeface="+mn-ea"/>
                    <a:cs typeface="+mn-cs"/>
                  </a:defRPr>
                </a:pPr>
                <a:endParaRPr lang="en-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deuda'!$E$31:$AJ$31</c:f>
              <c:numCache>
                <c:formatCode>0</c:formatCode>
                <c:ptCount val="32"/>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pt idx="20">
                  <c:v>2022</c:v>
                </c:pt>
                <c:pt idx="21">
                  <c:v>2023</c:v>
                </c:pt>
                <c:pt idx="22">
                  <c:v>2024</c:v>
                </c:pt>
                <c:pt idx="23">
                  <c:v>2025</c:v>
                </c:pt>
                <c:pt idx="24">
                  <c:v>2026</c:v>
                </c:pt>
                <c:pt idx="25">
                  <c:v>2027</c:v>
                </c:pt>
                <c:pt idx="26">
                  <c:v>2028</c:v>
                </c:pt>
                <c:pt idx="27">
                  <c:v>2029</c:v>
                </c:pt>
                <c:pt idx="28">
                  <c:v>2030</c:v>
                </c:pt>
                <c:pt idx="29">
                  <c:v>2031</c:v>
                </c:pt>
                <c:pt idx="30">
                  <c:v>2032</c:v>
                </c:pt>
                <c:pt idx="31">
                  <c:v>2033</c:v>
                </c:pt>
              </c:numCache>
            </c:numRef>
          </c:cat>
          <c:val>
            <c:numRef>
              <c:f>'Dinámica de la deuda'!$E$33:$AJ$33</c:f>
              <c:numCache>
                <c:formatCode>#,##0.0</c:formatCode>
                <c:ptCount val="32"/>
                <c:pt idx="0">
                  <c:v>9.8731380705652398</c:v>
                </c:pt>
                <c:pt idx="1">
                  <c:v>8.7385716535164413</c:v>
                </c:pt>
                <c:pt idx="2">
                  <c:v>8.6506545051626684</c:v>
                </c:pt>
                <c:pt idx="3">
                  <c:v>7.9595656500165841</c:v>
                </c:pt>
                <c:pt idx="4">
                  <c:v>7.6872266464385479</c:v>
                </c:pt>
                <c:pt idx="5">
                  <c:v>7.2439102299643583</c:v>
                </c:pt>
                <c:pt idx="6">
                  <c:v>6.6501125899619495</c:v>
                </c:pt>
                <c:pt idx="7">
                  <c:v>6.0673414232479743</c:v>
                </c:pt>
                <c:pt idx="8">
                  <c:v>5.6956356180200052</c:v>
                </c:pt>
                <c:pt idx="9">
                  <c:v>5.3713266451558379</c:v>
                </c:pt>
                <c:pt idx="10">
                  <c:v>5.1098026507261149</c:v>
                </c:pt>
                <c:pt idx="11">
                  <c:v>5.1980443632671571</c:v>
                </c:pt>
                <c:pt idx="12">
                  <c:v>5.9664970693137223</c:v>
                </c:pt>
                <c:pt idx="13">
                  <c:v>5.5472781935372613</c:v>
                </c:pt>
                <c:pt idx="14">
                  <c:v>5.1984309261764174</c:v>
                </c:pt>
                <c:pt idx="15">
                  <c:v>5.1617233429765106</c:v>
                </c:pt>
                <c:pt idx="16">
                  <c:v>5.5149195531755453</c:v>
                </c:pt>
                <c:pt idx="17">
                  <c:v>4.955019316880132</c:v>
                </c:pt>
                <c:pt idx="18">
                  <c:v>3.9851204772163777</c:v>
                </c:pt>
                <c:pt idx="19">
                  <c:v>3.6516969561891202</c:v>
                </c:pt>
                <c:pt idx="20">
                  <c:v>4.2300000000000004</c:v>
                </c:pt>
              </c:numCache>
            </c:numRef>
          </c:val>
          <c:smooth val="0"/>
          <c:extLst>
            <c:ext xmlns:c16="http://schemas.microsoft.com/office/drawing/2014/chart" uri="{C3380CC4-5D6E-409C-BE32-E72D297353CC}">
              <c16:uniqueId val="{00000008-CA34-484E-88B1-F80496547E9E}"/>
            </c:ext>
          </c:extLst>
        </c:ser>
        <c:ser>
          <c:idx val="2"/>
          <c:order val="2"/>
          <c:tx>
            <c:strRef>
              <c:f>'Dinámica de la deuda'!$A$22</c:f>
              <c:strCache>
                <c:ptCount val="1"/>
                <c:pt idx="0">
                  <c:v>Tasa interna modelo</c:v>
                </c:pt>
              </c:strCache>
            </c:strRef>
          </c:tx>
          <c:spPr>
            <a:ln w="28575" cap="rnd">
              <a:solidFill>
                <a:schemeClr val="accent1"/>
              </a:solidFill>
              <a:prstDash val="sysDash"/>
              <a:round/>
            </a:ln>
            <a:effectLst/>
          </c:spPr>
          <c:marker>
            <c:symbol val="none"/>
          </c:marker>
          <c:dLbls>
            <c:dLbl>
              <c:idx val="20"/>
              <c:delete val="1"/>
              <c:extLst>
                <c:ext xmlns:c15="http://schemas.microsoft.com/office/drawing/2012/chart" uri="{CE6537A1-D6FC-4f65-9D91-7224C49458BB}"/>
                <c:ext xmlns:c16="http://schemas.microsoft.com/office/drawing/2014/chart" uri="{C3380CC4-5D6E-409C-BE32-E72D297353CC}">
                  <c16:uniqueId val="{00000002-7974-1042-9BC3-BD4D3EA2F907}"/>
                </c:ext>
              </c:extLst>
            </c:dLbl>
            <c:spPr>
              <a:noFill/>
              <a:ln>
                <a:noFill/>
              </a:ln>
              <a:effectLst/>
            </c:spPr>
            <c:txPr>
              <a:bodyPr rot="0" spcFirstLastPara="1" vertOverflow="ellipsis" vert="horz" wrap="square" anchor="ctr" anchorCtr="1"/>
              <a:lstStyle/>
              <a:p>
                <a:pPr>
                  <a:defRPr sz="1050" b="1" i="0" u="none" strike="noStrike" kern="1200" baseline="0">
                    <a:solidFill>
                      <a:srgbClr val="003E6B"/>
                    </a:solidFill>
                    <a:latin typeface="Helvetica" pitchFamily="2" charset="0"/>
                    <a:ea typeface="+mn-ea"/>
                    <a:cs typeface="+mn-cs"/>
                  </a:defRPr>
                </a:pPr>
                <a:endParaRPr lang="en-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deuda'!$E$31:$AJ$31</c:f>
              <c:numCache>
                <c:formatCode>0</c:formatCode>
                <c:ptCount val="32"/>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pt idx="20">
                  <c:v>2022</c:v>
                </c:pt>
                <c:pt idx="21">
                  <c:v>2023</c:v>
                </c:pt>
                <c:pt idx="22">
                  <c:v>2024</c:v>
                </c:pt>
                <c:pt idx="23">
                  <c:v>2025</c:v>
                </c:pt>
                <c:pt idx="24">
                  <c:v>2026</c:v>
                </c:pt>
                <c:pt idx="25">
                  <c:v>2027</c:v>
                </c:pt>
                <c:pt idx="26">
                  <c:v>2028</c:v>
                </c:pt>
                <c:pt idx="27">
                  <c:v>2029</c:v>
                </c:pt>
                <c:pt idx="28">
                  <c:v>2030</c:v>
                </c:pt>
                <c:pt idx="29">
                  <c:v>2031</c:v>
                </c:pt>
                <c:pt idx="30">
                  <c:v>2032</c:v>
                </c:pt>
                <c:pt idx="31">
                  <c:v>2033</c:v>
                </c:pt>
              </c:numCache>
            </c:numRef>
          </c:cat>
          <c:val>
            <c:numRef>
              <c:f>'Dinámica de la deuda'!$E$22:$AJ$22</c:f>
              <c:numCache>
                <c:formatCode>#,##0.0</c:formatCode>
                <c:ptCount val="32"/>
                <c:pt idx="20">
                  <c:v>9.65</c:v>
                </c:pt>
                <c:pt idx="21">
                  <c:v>0</c:v>
                </c:pt>
                <c:pt idx="22">
                  <c:v>0</c:v>
                </c:pt>
                <c:pt idx="23">
                  <c:v>0</c:v>
                </c:pt>
                <c:pt idx="24">
                  <c:v>0</c:v>
                </c:pt>
                <c:pt idx="25">
                  <c:v>0</c:v>
                </c:pt>
                <c:pt idx="26">
                  <c:v>0</c:v>
                </c:pt>
                <c:pt idx="27">
                  <c:v>0</c:v>
                </c:pt>
                <c:pt idx="28">
                  <c:v>0</c:v>
                </c:pt>
                <c:pt idx="29">
                  <c:v>0</c:v>
                </c:pt>
                <c:pt idx="30">
                  <c:v>0</c:v>
                </c:pt>
                <c:pt idx="31">
                  <c:v>0</c:v>
                </c:pt>
              </c:numCache>
            </c:numRef>
          </c:val>
          <c:smooth val="0"/>
          <c:extLst>
            <c:ext xmlns:c16="http://schemas.microsoft.com/office/drawing/2014/chart" uri="{C3380CC4-5D6E-409C-BE32-E72D297353CC}">
              <c16:uniqueId val="{0000000B-CA34-484E-88B1-F80496547E9E}"/>
            </c:ext>
          </c:extLst>
        </c:ser>
        <c:ser>
          <c:idx val="3"/>
          <c:order val="3"/>
          <c:tx>
            <c:strRef>
              <c:f>'Dinámica de la deuda'!$A$23</c:f>
              <c:strCache>
                <c:ptCount val="1"/>
                <c:pt idx="0">
                  <c:v>Tasa externa modelo</c:v>
                </c:pt>
              </c:strCache>
            </c:strRef>
          </c:tx>
          <c:spPr>
            <a:ln w="28575" cap="rnd">
              <a:solidFill>
                <a:srgbClr val="C00000"/>
              </a:solidFill>
              <a:prstDash val="sysDash"/>
              <a:round/>
            </a:ln>
            <a:effectLst/>
          </c:spPr>
          <c:marker>
            <c:symbol val="none"/>
          </c:marker>
          <c:dLbls>
            <c:dLbl>
              <c:idx val="20"/>
              <c:delete val="1"/>
              <c:extLst>
                <c:ext xmlns:c15="http://schemas.microsoft.com/office/drawing/2012/chart" uri="{CE6537A1-D6FC-4f65-9D91-7224C49458BB}"/>
                <c:ext xmlns:c16="http://schemas.microsoft.com/office/drawing/2014/chart" uri="{C3380CC4-5D6E-409C-BE32-E72D297353CC}">
                  <c16:uniqueId val="{00000003-7974-1042-9BC3-BD4D3EA2F907}"/>
                </c:ext>
              </c:extLst>
            </c:dLbl>
            <c:spPr>
              <a:noFill/>
              <a:ln>
                <a:noFill/>
              </a:ln>
              <a:effectLst/>
            </c:spPr>
            <c:txPr>
              <a:bodyPr rot="0" spcFirstLastPara="1" vertOverflow="ellipsis" vert="horz" wrap="square" anchor="ctr" anchorCtr="1"/>
              <a:lstStyle/>
              <a:p>
                <a:pPr>
                  <a:defRPr sz="1050" b="1" i="0" u="none" strike="noStrike" kern="1200" baseline="0">
                    <a:solidFill>
                      <a:srgbClr val="C00000"/>
                    </a:solidFill>
                    <a:latin typeface="Helvetica" pitchFamily="2" charset="0"/>
                    <a:ea typeface="+mn-ea"/>
                    <a:cs typeface="+mn-cs"/>
                  </a:defRPr>
                </a:pPr>
                <a:endParaRPr lang="en-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deuda'!$E$31:$AJ$31</c:f>
              <c:numCache>
                <c:formatCode>0</c:formatCode>
                <c:ptCount val="32"/>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pt idx="20">
                  <c:v>2022</c:v>
                </c:pt>
                <c:pt idx="21">
                  <c:v>2023</c:v>
                </c:pt>
                <c:pt idx="22">
                  <c:v>2024</c:v>
                </c:pt>
                <c:pt idx="23">
                  <c:v>2025</c:v>
                </c:pt>
                <c:pt idx="24">
                  <c:v>2026</c:v>
                </c:pt>
                <c:pt idx="25">
                  <c:v>2027</c:v>
                </c:pt>
                <c:pt idx="26">
                  <c:v>2028</c:v>
                </c:pt>
                <c:pt idx="27">
                  <c:v>2029</c:v>
                </c:pt>
                <c:pt idx="28">
                  <c:v>2030</c:v>
                </c:pt>
                <c:pt idx="29">
                  <c:v>2031</c:v>
                </c:pt>
                <c:pt idx="30">
                  <c:v>2032</c:v>
                </c:pt>
                <c:pt idx="31">
                  <c:v>2033</c:v>
                </c:pt>
              </c:numCache>
            </c:numRef>
          </c:cat>
          <c:val>
            <c:numRef>
              <c:f>'Dinámica de la deuda'!$E$23:$AJ$23</c:f>
              <c:numCache>
                <c:formatCode>#,##0.0</c:formatCode>
                <c:ptCount val="32"/>
                <c:pt idx="20">
                  <c:v>4.2300000000000004</c:v>
                </c:pt>
                <c:pt idx="21">
                  <c:v>0</c:v>
                </c:pt>
                <c:pt idx="22">
                  <c:v>0</c:v>
                </c:pt>
                <c:pt idx="23">
                  <c:v>0</c:v>
                </c:pt>
                <c:pt idx="24">
                  <c:v>0</c:v>
                </c:pt>
                <c:pt idx="25">
                  <c:v>0</c:v>
                </c:pt>
                <c:pt idx="26">
                  <c:v>0</c:v>
                </c:pt>
                <c:pt idx="27">
                  <c:v>0</c:v>
                </c:pt>
                <c:pt idx="28">
                  <c:v>0</c:v>
                </c:pt>
                <c:pt idx="29">
                  <c:v>0</c:v>
                </c:pt>
                <c:pt idx="30">
                  <c:v>0</c:v>
                </c:pt>
                <c:pt idx="31">
                  <c:v>0</c:v>
                </c:pt>
              </c:numCache>
            </c:numRef>
          </c:val>
          <c:smooth val="0"/>
          <c:extLst>
            <c:ext xmlns:c16="http://schemas.microsoft.com/office/drawing/2014/chart" uri="{C3380CC4-5D6E-409C-BE32-E72D297353CC}">
              <c16:uniqueId val="{0000000C-CA34-484E-88B1-F80496547E9E}"/>
            </c:ext>
          </c:extLst>
        </c:ser>
        <c:dLbls>
          <c:showLegendKey val="0"/>
          <c:showVal val="0"/>
          <c:showCatName val="0"/>
          <c:showSerName val="0"/>
          <c:showPercent val="0"/>
          <c:showBubbleSize val="0"/>
        </c:dLbls>
        <c:smooth val="0"/>
        <c:axId val="1140531520"/>
        <c:axId val="1140533200"/>
      </c:lineChart>
      <c:catAx>
        <c:axId val="1140531520"/>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200" b="0" i="0" u="none" strike="noStrike" kern="1200" baseline="0">
                <a:solidFill>
                  <a:srgbClr val="003E6B"/>
                </a:solidFill>
                <a:latin typeface="Helvetica" pitchFamily="2" charset="0"/>
                <a:ea typeface="+mn-ea"/>
                <a:cs typeface="+mn-cs"/>
              </a:defRPr>
            </a:pPr>
            <a:endParaRPr lang="en-CO"/>
          </a:p>
        </c:txPr>
        <c:crossAx val="1140533200"/>
        <c:crosses val="autoZero"/>
        <c:auto val="1"/>
        <c:lblAlgn val="ctr"/>
        <c:lblOffset val="100"/>
        <c:noMultiLvlLbl val="0"/>
      </c:catAx>
      <c:valAx>
        <c:axId val="1140533200"/>
        <c:scaling>
          <c:orientation val="minMax"/>
          <c:min val="2"/>
        </c:scaling>
        <c:delete val="1"/>
        <c:axPos val="l"/>
        <c:numFmt formatCode="#,##0.0" sourceLinked="1"/>
        <c:majorTickMark val="out"/>
        <c:minorTickMark val="none"/>
        <c:tickLblPos val="nextTo"/>
        <c:crossAx val="1140531520"/>
        <c:crosses val="autoZero"/>
        <c:crossBetween val="between"/>
      </c:valAx>
      <c:spPr>
        <a:noFill/>
        <a:ln>
          <a:noFill/>
        </a:ln>
        <a:effectLst/>
      </c:spPr>
    </c:plotArea>
    <c:legend>
      <c:legendPos val="b"/>
      <c:layout>
        <c:manualLayout>
          <c:xMode val="edge"/>
          <c:yMode val="edge"/>
          <c:x val="1.9581652766695448E-2"/>
          <c:y val="0.89675162037037037"/>
          <c:w val="0.95736439195100609"/>
          <c:h val="9.7915277777777782E-2"/>
        </c:manualLayout>
      </c:layout>
      <c:overlay val="0"/>
      <c:spPr>
        <a:noFill/>
        <a:ln>
          <a:noFill/>
        </a:ln>
        <a:effectLst/>
      </c:spPr>
      <c:txPr>
        <a:bodyPr rot="0" spcFirstLastPara="1" vertOverflow="ellipsis" vert="horz" wrap="square" anchor="ctr" anchorCtr="1"/>
        <a:lstStyle/>
        <a:p>
          <a:pPr>
            <a:defRPr sz="1200" b="0" i="0" u="none" strike="noStrike" kern="1200" baseline="0">
              <a:solidFill>
                <a:srgbClr val="003E6B"/>
              </a:solidFill>
              <a:latin typeface="Helvetica" pitchFamily="2" charset="0"/>
              <a:ea typeface="+mn-ea"/>
              <a:cs typeface="+mn-cs"/>
            </a:defRPr>
          </a:pPr>
          <a:endParaRPr lang="en-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rgbClr val="003E6B"/>
          </a:solidFill>
          <a:latin typeface="Helvetica" pitchFamily="2" charset="0"/>
        </a:defRPr>
      </a:pPr>
      <a:endParaRPr lang="en-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rgbClr val="003E6B"/>
                </a:solidFill>
                <a:latin typeface="Helvetica" pitchFamily="2" charset="0"/>
                <a:ea typeface="+mn-ea"/>
                <a:cs typeface="+mn-cs"/>
              </a:defRPr>
            </a:pPr>
            <a:r>
              <a:rPr lang="es-CO" b="1"/>
              <a:t>Tasa de interés implícita</a:t>
            </a:r>
          </a:p>
        </c:rich>
      </c:tx>
      <c:overlay val="0"/>
      <c:spPr>
        <a:noFill/>
        <a:ln>
          <a:noFill/>
        </a:ln>
        <a:effectLst/>
      </c:spPr>
    </c:title>
    <c:autoTitleDeleted val="0"/>
    <c:plotArea>
      <c:layout>
        <c:manualLayout>
          <c:layoutTarget val="inner"/>
          <c:xMode val="edge"/>
          <c:yMode val="edge"/>
          <c:x val="1.7371805555555554E-2"/>
          <c:y val="8.1414351851851821E-3"/>
          <c:w val="0.96988369932340113"/>
          <c:h val="0.76812800925925917"/>
        </c:manualLayout>
      </c:layout>
      <c:lineChart>
        <c:grouping val="standard"/>
        <c:varyColors val="0"/>
        <c:ser>
          <c:idx val="2"/>
          <c:order val="0"/>
          <c:tx>
            <c:v>Interna</c:v>
          </c:tx>
          <c:spPr>
            <a:ln w="15875">
              <a:solidFill>
                <a:schemeClr val="accent1"/>
              </a:solidFill>
            </a:ln>
          </c:spPr>
          <c:marker>
            <c:symbol val="none"/>
          </c:marker>
          <c:dPt>
            <c:idx val="23"/>
            <c:bubble3D val="0"/>
            <c:spPr>
              <a:ln w="15875" cap="rnd">
                <a:solidFill>
                  <a:schemeClr val="accent1"/>
                </a:solidFill>
                <a:prstDash val="sysDash"/>
                <a:round/>
              </a:ln>
              <a:effectLst/>
            </c:spPr>
            <c:extLst>
              <c:ext xmlns:c16="http://schemas.microsoft.com/office/drawing/2014/chart" uri="{C3380CC4-5D6E-409C-BE32-E72D297353CC}">
                <c16:uniqueId val="{00000065-FC38-1C43-8357-D7CF17026529}"/>
              </c:ext>
            </c:extLst>
          </c:dPt>
          <c:dPt>
            <c:idx val="24"/>
            <c:bubble3D val="0"/>
            <c:spPr>
              <a:ln w="15875" cap="rnd">
                <a:solidFill>
                  <a:schemeClr val="accent1"/>
                </a:solidFill>
                <a:prstDash val="sysDash"/>
                <a:round/>
              </a:ln>
              <a:effectLst/>
            </c:spPr>
            <c:extLst>
              <c:ext xmlns:c16="http://schemas.microsoft.com/office/drawing/2014/chart" uri="{C3380CC4-5D6E-409C-BE32-E72D297353CC}">
                <c16:uniqueId val="{00000066-FC38-1C43-8357-D7CF17026529}"/>
              </c:ext>
            </c:extLst>
          </c:dPt>
          <c:dPt>
            <c:idx val="25"/>
            <c:bubble3D val="0"/>
            <c:spPr>
              <a:ln w="15875" cap="rnd">
                <a:solidFill>
                  <a:schemeClr val="accent1"/>
                </a:solidFill>
                <a:prstDash val="sysDash"/>
                <a:round/>
              </a:ln>
              <a:effectLst/>
            </c:spPr>
            <c:extLst>
              <c:ext xmlns:c16="http://schemas.microsoft.com/office/drawing/2014/chart" uri="{C3380CC4-5D6E-409C-BE32-E72D297353CC}">
                <c16:uniqueId val="{00000067-FC38-1C43-8357-D7CF17026529}"/>
              </c:ext>
            </c:extLst>
          </c:dPt>
          <c:dPt>
            <c:idx val="26"/>
            <c:bubble3D val="0"/>
            <c:spPr>
              <a:ln w="15875" cap="rnd">
                <a:solidFill>
                  <a:schemeClr val="accent1"/>
                </a:solidFill>
                <a:prstDash val="sysDash"/>
                <a:round/>
              </a:ln>
              <a:effectLst/>
            </c:spPr>
            <c:extLst>
              <c:ext xmlns:c16="http://schemas.microsoft.com/office/drawing/2014/chart" uri="{C3380CC4-5D6E-409C-BE32-E72D297353CC}">
                <c16:uniqueId val="{00000068-FC38-1C43-8357-D7CF17026529}"/>
              </c:ext>
            </c:extLst>
          </c:dPt>
          <c:dPt>
            <c:idx val="27"/>
            <c:bubble3D val="0"/>
            <c:spPr>
              <a:ln w="15875" cap="rnd">
                <a:solidFill>
                  <a:schemeClr val="accent1"/>
                </a:solidFill>
                <a:prstDash val="sysDash"/>
                <a:round/>
              </a:ln>
              <a:effectLst/>
            </c:spPr>
            <c:extLst>
              <c:ext xmlns:c16="http://schemas.microsoft.com/office/drawing/2014/chart" uri="{C3380CC4-5D6E-409C-BE32-E72D297353CC}">
                <c16:uniqueId val="{00000069-FC38-1C43-8357-D7CF17026529}"/>
              </c:ext>
            </c:extLst>
          </c:dPt>
          <c:dPt>
            <c:idx val="28"/>
            <c:bubble3D val="0"/>
            <c:spPr>
              <a:ln w="15875" cap="rnd">
                <a:solidFill>
                  <a:schemeClr val="accent1"/>
                </a:solidFill>
                <a:prstDash val="sysDash"/>
                <a:round/>
              </a:ln>
              <a:effectLst/>
            </c:spPr>
            <c:extLst>
              <c:ext xmlns:c16="http://schemas.microsoft.com/office/drawing/2014/chart" uri="{C3380CC4-5D6E-409C-BE32-E72D297353CC}">
                <c16:uniqueId val="{0000006A-FC38-1C43-8357-D7CF17026529}"/>
              </c:ext>
            </c:extLst>
          </c:dPt>
          <c:dPt>
            <c:idx val="29"/>
            <c:bubble3D val="0"/>
            <c:spPr>
              <a:ln w="15875" cap="rnd">
                <a:solidFill>
                  <a:schemeClr val="accent1"/>
                </a:solidFill>
                <a:prstDash val="sysDash"/>
                <a:round/>
              </a:ln>
              <a:effectLst/>
            </c:spPr>
            <c:extLst>
              <c:ext xmlns:c16="http://schemas.microsoft.com/office/drawing/2014/chart" uri="{C3380CC4-5D6E-409C-BE32-E72D297353CC}">
                <c16:uniqueId val="{0000006B-FC38-1C43-8357-D7CF17026529}"/>
              </c:ext>
            </c:extLst>
          </c:dPt>
          <c:dPt>
            <c:idx val="30"/>
            <c:bubble3D val="0"/>
            <c:spPr>
              <a:ln w="15875" cap="rnd">
                <a:solidFill>
                  <a:schemeClr val="accent1"/>
                </a:solidFill>
                <a:prstDash val="sysDash"/>
                <a:round/>
              </a:ln>
              <a:effectLst/>
            </c:spPr>
            <c:extLst>
              <c:ext xmlns:c16="http://schemas.microsoft.com/office/drawing/2014/chart" uri="{C3380CC4-5D6E-409C-BE32-E72D297353CC}">
                <c16:uniqueId val="{0000006C-FC38-1C43-8357-D7CF17026529}"/>
              </c:ext>
            </c:extLst>
          </c:dPt>
          <c:dPt>
            <c:idx val="31"/>
            <c:bubble3D val="0"/>
            <c:spPr>
              <a:ln w="15875" cap="rnd">
                <a:solidFill>
                  <a:schemeClr val="accent1"/>
                </a:solidFill>
                <a:prstDash val="sysDash"/>
                <a:round/>
              </a:ln>
              <a:effectLst/>
            </c:spPr>
            <c:extLst>
              <c:ext xmlns:c16="http://schemas.microsoft.com/office/drawing/2014/chart" uri="{C3380CC4-5D6E-409C-BE32-E72D297353CC}">
                <c16:uniqueId val="{0000006D-FC38-1C43-8357-D7CF17026529}"/>
              </c:ext>
            </c:extLst>
          </c:dPt>
          <c:dPt>
            <c:idx val="32"/>
            <c:bubble3D val="0"/>
            <c:spPr>
              <a:ln w="15875" cap="rnd">
                <a:solidFill>
                  <a:schemeClr val="accent1"/>
                </a:solidFill>
                <a:prstDash val="sysDash"/>
                <a:round/>
              </a:ln>
              <a:effectLst/>
            </c:spPr>
            <c:extLst>
              <c:ext xmlns:c16="http://schemas.microsoft.com/office/drawing/2014/chart" uri="{C3380CC4-5D6E-409C-BE32-E72D297353CC}">
                <c16:uniqueId val="{0000006E-FC38-1C43-8357-D7CF17026529}"/>
              </c:ext>
            </c:extLst>
          </c:dPt>
          <c:dPt>
            <c:idx val="33"/>
            <c:bubble3D val="0"/>
            <c:spPr>
              <a:ln w="15875" cap="rnd">
                <a:solidFill>
                  <a:schemeClr val="accent1"/>
                </a:solidFill>
                <a:prstDash val="sysDash"/>
                <a:round/>
              </a:ln>
              <a:effectLst/>
            </c:spPr>
            <c:extLst>
              <c:ext xmlns:c16="http://schemas.microsoft.com/office/drawing/2014/chart" uri="{C3380CC4-5D6E-409C-BE32-E72D297353CC}">
                <c16:uniqueId val="{0000006F-FC38-1C43-8357-D7CF17026529}"/>
              </c:ext>
            </c:extLst>
          </c:dPt>
          <c:dPt>
            <c:idx val="34"/>
            <c:bubble3D val="0"/>
            <c:spPr>
              <a:ln w="15875" cap="rnd">
                <a:solidFill>
                  <a:schemeClr val="accent1"/>
                </a:solidFill>
                <a:prstDash val="sysDash"/>
                <a:round/>
              </a:ln>
              <a:effectLst/>
            </c:spPr>
            <c:extLst>
              <c:ext xmlns:c16="http://schemas.microsoft.com/office/drawing/2014/chart" uri="{C3380CC4-5D6E-409C-BE32-E72D297353CC}">
                <c16:uniqueId val="{00000070-FC38-1C43-8357-D7CF17026529}"/>
              </c:ext>
            </c:extLst>
          </c:dPt>
          <c:dLbls>
            <c:dLbl>
              <c:idx val="1"/>
              <c:delete val="1"/>
              <c:extLst>
                <c:ext xmlns:c15="http://schemas.microsoft.com/office/drawing/2012/chart" uri="{CE6537A1-D6FC-4f65-9D91-7224C49458BB}"/>
                <c:ext xmlns:c16="http://schemas.microsoft.com/office/drawing/2014/chart" uri="{C3380CC4-5D6E-409C-BE32-E72D297353CC}">
                  <c16:uniqueId val="{00000080-FC38-1C43-8357-D7CF17026529}"/>
                </c:ext>
              </c:extLst>
            </c:dLbl>
            <c:dLbl>
              <c:idx val="2"/>
              <c:delete val="1"/>
              <c:extLst>
                <c:ext xmlns:c15="http://schemas.microsoft.com/office/drawing/2012/chart" uri="{CE6537A1-D6FC-4f65-9D91-7224C49458BB}"/>
                <c:ext xmlns:c16="http://schemas.microsoft.com/office/drawing/2014/chart" uri="{C3380CC4-5D6E-409C-BE32-E72D297353CC}">
                  <c16:uniqueId val="{00000081-FC38-1C43-8357-D7CF17026529}"/>
                </c:ext>
              </c:extLst>
            </c:dLbl>
            <c:dLbl>
              <c:idx val="3"/>
              <c:delete val="1"/>
              <c:extLst>
                <c:ext xmlns:c15="http://schemas.microsoft.com/office/drawing/2012/chart" uri="{CE6537A1-D6FC-4f65-9D91-7224C49458BB}"/>
                <c:ext xmlns:c16="http://schemas.microsoft.com/office/drawing/2014/chart" uri="{C3380CC4-5D6E-409C-BE32-E72D297353CC}">
                  <c16:uniqueId val="{00000082-FC38-1C43-8357-D7CF17026529}"/>
                </c:ext>
              </c:extLst>
            </c:dLbl>
            <c:dLbl>
              <c:idx val="5"/>
              <c:delete val="1"/>
              <c:extLst>
                <c:ext xmlns:c15="http://schemas.microsoft.com/office/drawing/2012/chart" uri="{CE6537A1-D6FC-4f65-9D91-7224C49458BB}"/>
                <c:ext xmlns:c16="http://schemas.microsoft.com/office/drawing/2014/chart" uri="{C3380CC4-5D6E-409C-BE32-E72D297353CC}">
                  <c16:uniqueId val="{00000083-FC38-1C43-8357-D7CF17026529}"/>
                </c:ext>
              </c:extLst>
            </c:dLbl>
            <c:dLbl>
              <c:idx val="8"/>
              <c:delete val="1"/>
              <c:extLst>
                <c:ext xmlns:c15="http://schemas.microsoft.com/office/drawing/2012/chart" uri="{CE6537A1-D6FC-4f65-9D91-7224C49458BB}"/>
                <c:ext xmlns:c16="http://schemas.microsoft.com/office/drawing/2014/chart" uri="{C3380CC4-5D6E-409C-BE32-E72D297353CC}">
                  <c16:uniqueId val="{00000084-FC38-1C43-8357-D7CF17026529}"/>
                </c:ext>
              </c:extLst>
            </c:dLbl>
            <c:dLbl>
              <c:idx val="9"/>
              <c:delete val="1"/>
              <c:extLst>
                <c:ext xmlns:c15="http://schemas.microsoft.com/office/drawing/2012/chart" uri="{CE6537A1-D6FC-4f65-9D91-7224C49458BB}"/>
                <c:ext xmlns:c16="http://schemas.microsoft.com/office/drawing/2014/chart" uri="{C3380CC4-5D6E-409C-BE32-E72D297353CC}">
                  <c16:uniqueId val="{00000085-FC38-1C43-8357-D7CF17026529}"/>
                </c:ext>
              </c:extLst>
            </c:dLbl>
            <c:dLbl>
              <c:idx val="23"/>
              <c:layout>
                <c:manualLayout>
                  <c:x val="-3.0843509543024353E-2"/>
                  <c:y val="2.612700070018909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5-FC38-1C43-8357-D7CF17026529}"/>
                </c:ext>
              </c:extLst>
            </c:dLbl>
            <c:dLbl>
              <c:idx val="25"/>
              <c:layout>
                <c:manualLayout>
                  <c:x val="-1.2072974586788868E-2"/>
                  <c:y val="-2.920076548844663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FC38-1C43-8357-D7CF17026529}"/>
                </c:ext>
              </c:extLst>
            </c:dLbl>
            <c:dLbl>
              <c:idx val="26"/>
              <c:delete val="1"/>
              <c:extLst>
                <c:ext xmlns:c15="http://schemas.microsoft.com/office/drawing/2012/chart" uri="{CE6537A1-D6FC-4f65-9D91-7224C49458BB}"/>
                <c:ext xmlns:c16="http://schemas.microsoft.com/office/drawing/2014/chart" uri="{C3380CC4-5D6E-409C-BE32-E72D297353CC}">
                  <c16:uniqueId val="{00000068-FC38-1C43-8357-D7CF17026529}"/>
                </c:ext>
              </c:extLst>
            </c:dLbl>
            <c:dLbl>
              <c:idx val="27"/>
              <c:delete val="1"/>
              <c:extLst>
                <c:ext xmlns:c15="http://schemas.microsoft.com/office/drawing/2012/chart" uri="{CE6537A1-D6FC-4f65-9D91-7224C49458BB}"/>
                <c:ext xmlns:c16="http://schemas.microsoft.com/office/drawing/2014/chart" uri="{C3380CC4-5D6E-409C-BE32-E72D297353CC}">
                  <c16:uniqueId val="{00000069-FC38-1C43-8357-D7CF17026529}"/>
                </c:ext>
              </c:extLst>
            </c:dLbl>
            <c:dLbl>
              <c:idx val="30"/>
              <c:delete val="1"/>
              <c:extLst>
                <c:ext xmlns:c15="http://schemas.microsoft.com/office/drawing/2012/chart" uri="{CE6537A1-D6FC-4f65-9D91-7224C49458BB}"/>
                <c:ext xmlns:c16="http://schemas.microsoft.com/office/drawing/2014/chart" uri="{C3380CC4-5D6E-409C-BE32-E72D297353CC}">
                  <c16:uniqueId val="{0000006C-FC38-1C43-8357-D7CF17026529}"/>
                </c:ext>
              </c:extLst>
            </c:dLbl>
            <c:dLbl>
              <c:idx val="32"/>
              <c:delete val="1"/>
              <c:extLst>
                <c:ext xmlns:c15="http://schemas.microsoft.com/office/drawing/2012/chart" uri="{CE6537A1-D6FC-4f65-9D91-7224C49458BB}"/>
                <c:ext xmlns:c16="http://schemas.microsoft.com/office/drawing/2014/chart" uri="{C3380CC4-5D6E-409C-BE32-E72D297353CC}">
                  <c16:uniqueId val="{0000006E-FC38-1C43-8357-D7CF17026529}"/>
                </c:ext>
              </c:extLst>
            </c:dLbl>
            <c:dLbl>
              <c:idx val="33"/>
              <c:delete val="1"/>
              <c:extLst>
                <c:ext xmlns:c15="http://schemas.microsoft.com/office/drawing/2012/chart" uri="{CE6537A1-D6FC-4f65-9D91-7224C49458BB}"/>
                <c:ext xmlns:c16="http://schemas.microsoft.com/office/drawing/2014/chart" uri="{C3380CC4-5D6E-409C-BE32-E72D297353CC}">
                  <c16:uniqueId val="{0000006F-FC38-1C43-8357-D7CF17026529}"/>
                </c:ext>
              </c:extLst>
            </c:dLbl>
            <c:spPr>
              <a:noFill/>
              <a:ln>
                <a:noFill/>
              </a:ln>
              <a:effectLst/>
            </c:spPr>
            <c:txPr>
              <a:bodyPr wrap="square" lIns="38100" tIns="19050" rIns="38100" bIns="19050" anchor="ctr">
                <a:spAutoFit/>
              </a:bodyPr>
              <a:lstStyle/>
              <a:p>
                <a:pPr>
                  <a:defRPr sz="900" b="1">
                    <a:solidFill>
                      <a:schemeClr val="accent1"/>
                    </a:solidFill>
                  </a:defRPr>
                </a:pPr>
                <a:endParaRPr lang="en-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'Dinámica de la deuda'!$C$31:$AK$31</c:f>
              <c:numCache>
                <c:formatCode>0</c:formatCode>
                <c:ptCount val="3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pt idx="25">
                  <c:v>2025</c:v>
                </c:pt>
                <c:pt idx="26">
                  <c:v>2026</c:v>
                </c:pt>
                <c:pt idx="27">
                  <c:v>2027</c:v>
                </c:pt>
                <c:pt idx="28">
                  <c:v>2028</c:v>
                </c:pt>
                <c:pt idx="29">
                  <c:v>2029</c:v>
                </c:pt>
                <c:pt idx="30">
                  <c:v>2030</c:v>
                </c:pt>
                <c:pt idx="31">
                  <c:v>2031</c:v>
                </c:pt>
                <c:pt idx="32">
                  <c:v>2032</c:v>
                </c:pt>
                <c:pt idx="33">
                  <c:v>2033</c:v>
                </c:pt>
                <c:pt idx="34">
                  <c:v>2034</c:v>
                </c:pt>
              </c:numCache>
            </c:numRef>
          </c:cat>
          <c:val>
            <c:numRef>
              <c:f>'Dinámica de la deuda'!$C$26:$AK$26</c:f>
              <c:numCache>
                <c:formatCode>#,##0.0</c:formatCode>
                <c:ptCount val="35"/>
                <c:pt idx="0">
                  <c:v>15.461617430943225</c:v>
                </c:pt>
                <c:pt idx="1">
                  <c:v>11.13624066786188</c:v>
                </c:pt>
                <c:pt idx="2">
                  <c:v>9.8914538280504196</c:v>
                </c:pt>
                <c:pt idx="3">
                  <c:v>9.8757967460982119</c:v>
                </c:pt>
                <c:pt idx="4">
                  <c:v>9.9266340223810641</c:v>
                </c:pt>
                <c:pt idx="5">
                  <c:v>8.3664180543026898</c:v>
                </c:pt>
                <c:pt idx="6">
                  <c:v>10.94263931264309</c:v>
                </c:pt>
                <c:pt idx="7">
                  <c:v>12.340274079973042</c:v>
                </c:pt>
                <c:pt idx="8">
                  <c:v>10.993107378029771</c:v>
                </c:pt>
                <c:pt idx="9">
                  <c:v>9.8503815536483899</c:v>
                </c:pt>
                <c:pt idx="10">
                  <c:v>8.7088765121933331</c:v>
                </c:pt>
                <c:pt idx="11">
                  <c:v>9.1526679814100724</c:v>
                </c:pt>
                <c:pt idx="12">
                  <c:v>8.8971312783105514</c:v>
                </c:pt>
                <c:pt idx="13">
                  <c:v>7.886143382068159</c:v>
                </c:pt>
                <c:pt idx="14">
                  <c:v>7.452117577172662</c:v>
                </c:pt>
                <c:pt idx="15">
                  <c:v>7.9224162277064876</c:v>
                </c:pt>
                <c:pt idx="16">
                  <c:v>9.155219777679056</c:v>
                </c:pt>
                <c:pt idx="17">
                  <c:v>8.2131660084793996</c:v>
                </c:pt>
                <c:pt idx="18">
                  <c:v>7.7737175236158889</c:v>
                </c:pt>
                <c:pt idx="19">
                  <c:v>7.6629789442131822</c:v>
                </c:pt>
                <c:pt idx="20">
                  <c:v>5.7009993244509509</c:v>
                </c:pt>
                <c:pt idx="21">
                  <c:v>7.7652539017543836</c:v>
                </c:pt>
                <c:pt idx="22">
                  <c:v>12.094049147390173</c:v>
                </c:pt>
                <c:pt idx="23">
                  <c:v>0</c:v>
                </c:pt>
                <c:pt idx="24">
                  <c:v>0</c:v>
                </c:pt>
                <c:pt idx="25">
                  <c:v>0</c:v>
                </c:pt>
                <c:pt idx="26">
                  <c:v>0</c:v>
                </c:pt>
                <c:pt idx="27">
                  <c:v>0</c:v>
                </c:pt>
                <c:pt idx="28">
                  <c:v>0</c:v>
                </c:pt>
                <c:pt idx="29">
                  <c:v>0</c:v>
                </c:pt>
                <c:pt idx="30">
                  <c:v>0</c:v>
                </c:pt>
                <c:pt idx="31">
                  <c:v>0</c:v>
                </c:pt>
                <c:pt idx="32">
                  <c:v>0</c:v>
                </c:pt>
                <c:pt idx="33">
                  <c:v>0</c:v>
                </c:pt>
                <c:pt idx="34">
                  <c:v>0</c:v>
                </c:pt>
              </c:numCache>
            </c:numRef>
          </c:val>
          <c:smooth val="0"/>
          <c:extLst>
            <c:ext xmlns:c16="http://schemas.microsoft.com/office/drawing/2014/chart" uri="{C3380CC4-5D6E-409C-BE32-E72D297353CC}">
              <c16:uniqueId val="{00000064-FC38-1C43-8357-D7CF17026529}"/>
            </c:ext>
          </c:extLst>
        </c:ser>
        <c:ser>
          <c:idx val="3"/>
          <c:order val="1"/>
          <c:tx>
            <c:v>Externa</c:v>
          </c:tx>
          <c:spPr>
            <a:ln w="15875">
              <a:solidFill>
                <a:srgbClr val="C00000"/>
              </a:solidFill>
            </a:ln>
          </c:spPr>
          <c:marker>
            <c:symbol val="none"/>
          </c:marker>
          <c:dPt>
            <c:idx val="23"/>
            <c:bubble3D val="0"/>
            <c:spPr>
              <a:ln w="15875" cap="rnd">
                <a:solidFill>
                  <a:srgbClr val="C00000"/>
                </a:solidFill>
                <a:prstDash val="sysDash"/>
                <a:round/>
              </a:ln>
              <a:effectLst/>
            </c:spPr>
            <c:extLst>
              <c:ext xmlns:c16="http://schemas.microsoft.com/office/drawing/2014/chart" uri="{C3380CC4-5D6E-409C-BE32-E72D297353CC}">
                <c16:uniqueId val="{00000072-FC38-1C43-8357-D7CF17026529}"/>
              </c:ext>
            </c:extLst>
          </c:dPt>
          <c:dPt>
            <c:idx val="24"/>
            <c:bubble3D val="0"/>
            <c:spPr>
              <a:ln w="15875" cap="rnd">
                <a:solidFill>
                  <a:srgbClr val="C00000"/>
                </a:solidFill>
                <a:prstDash val="sysDash"/>
                <a:round/>
              </a:ln>
              <a:effectLst/>
            </c:spPr>
            <c:extLst>
              <c:ext xmlns:c16="http://schemas.microsoft.com/office/drawing/2014/chart" uri="{C3380CC4-5D6E-409C-BE32-E72D297353CC}">
                <c16:uniqueId val="{00000073-FC38-1C43-8357-D7CF17026529}"/>
              </c:ext>
            </c:extLst>
          </c:dPt>
          <c:dPt>
            <c:idx val="25"/>
            <c:bubble3D val="0"/>
            <c:spPr>
              <a:ln w="15875" cap="rnd">
                <a:solidFill>
                  <a:srgbClr val="C00000"/>
                </a:solidFill>
                <a:prstDash val="sysDash"/>
                <a:round/>
              </a:ln>
              <a:effectLst/>
            </c:spPr>
            <c:extLst>
              <c:ext xmlns:c16="http://schemas.microsoft.com/office/drawing/2014/chart" uri="{C3380CC4-5D6E-409C-BE32-E72D297353CC}">
                <c16:uniqueId val="{00000074-FC38-1C43-8357-D7CF17026529}"/>
              </c:ext>
            </c:extLst>
          </c:dPt>
          <c:dPt>
            <c:idx val="26"/>
            <c:bubble3D val="0"/>
            <c:spPr>
              <a:ln w="15875" cap="rnd">
                <a:solidFill>
                  <a:srgbClr val="C00000"/>
                </a:solidFill>
                <a:prstDash val="sysDash"/>
                <a:round/>
              </a:ln>
              <a:effectLst/>
            </c:spPr>
            <c:extLst>
              <c:ext xmlns:c16="http://schemas.microsoft.com/office/drawing/2014/chart" uri="{C3380CC4-5D6E-409C-BE32-E72D297353CC}">
                <c16:uniqueId val="{00000075-FC38-1C43-8357-D7CF17026529}"/>
              </c:ext>
            </c:extLst>
          </c:dPt>
          <c:dPt>
            <c:idx val="27"/>
            <c:bubble3D val="0"/>
            <c:spPr>
              <a:ln w="15875" cap="rnd">
                <a:solidFill>
                  <a:srgbClr val="C00000"/>
                </a:solidFill>
                <a:prstDash val="sysDash"/>
                <a:round/>
              </a:ln>
              <a:effectLst/>
            </c:spPr>
            <c:extLst>
              <c:ext xmlns:c16="http://schemas.microsoft.com/office/drawing/2014/chart" uri="{C3380CC4-5D6E-409C-BE32-E72D297353CC}">
                <c16:uniqueId val="{00000076-FC38-1C43-8357-D7CF17026529}"/>
              </c:ext>
            </c:extLst>
          </c:dPt>
          <c:dPt>
            <c:idx val="28"/>
            <c:bubble3D val="0"/>
            <c:spPr>
              <a:ln w="15875" cap="rnd">
                <a:solidFill>
                  <a:srgbClr val="C00000"/>
                </a:solidFill>
                <a:prstDash val="sysDash"/>
                <a:round/>
              </a:ln>
              <a:effectLst/>
            </c:spPr>
            <c:extLst>
              <c:ext xmlns:c16="http://schemas.microsoft.com/office/drawing/2014/chart" uri="{C3380CC4-5D6E-409C-BE32-E72D297353CC}">
                <c16:uniqueId val="{00000077-FC38-1C43-8357-D7CF17026529}"/>
              </c:ext>
            </c:extLst>
          </c:dPt>
          <c:dPt>
            <c:idx val="29"/>
            <c:bubble3D val="0"/>
            <c:spPr>
              <a:ln w="15875" cap="rnd">
                <a:solidFill>
                  <a:srgbClr val="C00000"/>
                </a:solidFill>
                <a:prstDash val="sysDash"/>
                <a:round/>
              </a:ln>
              <a:effectLst/>
            </c:spPr>
            <c:extLst>
              <c:ext xmlns:c16="http://schemas.microsoft.com/office/drawing/2014/chart" uri="{C3380CC4-5D6E-409C-BE32-E72D297353CC}">
                <c16:uniqueId val="{00000078-FC38-1C43-8357-D7CF17026529}"/>
              </c:ext>
            </c:extLst>
          </c:dPt>
          <c:dPt>
            <c:idx val="30"/>
            <c:bubble3D val="0"/>
            <c:spPr>
              <a:ln w="15875" cap="rnd">
                <a:solidFill>
                  <a:srgbClr val="C00000"/>
                </a:solidFill>
                <a:prstDash val="sysDash"/>
                <a:round/>
              </a:ln>
              <a:effectLst/>
            </c:spPr>
            <c:extLst>
              <c:ext xmlns:c16="http://schemas.microsoft.com/office/drawing/2014/chart" uri="{C3380CC4-5D6E-409C-BE32-E72D297353CC}">
                <c16:uniqueId val="{00000079-FC38-1C43-8357-D7CF17026529}"/>
              </c:ext>
            </c:extLst>
          </c:dPt>
          <c:dPt>
            <c:idx val="31"/>
            <c:bubble3D val="0"/>
            <c:spPr>
              <a:ln w="15875" cap="rnd">
                <a:solidFill>
                  <a:srgbClr val="C00000"/>
                </a:solidFill>
                <a:prstDash val="sysDash"/>
                <a:round/>
              </a:ln>
              <a:effectLst/>
            </c:spPr>
            <c:extLst>
              <c:ext xmlns:c16="http://schemas.microsoft.com/office/drawing/2014/chart" uri="{C3380CC4-5D6E-409C-BE32-E72D297353CC}">
                <c16:uniqueId val="{0000007A-FC38-1C43-8357-D7CF17026529}"/>
              </c:ext>
            </c:extLst>
          </c:dPt>
          <c:dPt>
            <c:idx val="32"/>
            <c:bubble3D val="0"/>
            <c:spPr>
              <a:ln w="15875" cap="rnd">
                <a:solidFill>
                  <a:srgbClr val="C00000"/>
                </a:solidFill>
                <a:prstDash val="sysDash"/>
                <a:round/>
              </a:ln>
              <a:effectLst/>
            </c:spPr>
            <c:extLst>
              <c:ext xmlns:c16="http://schemas.microsoft.com/office/drawing/2014/chart" uri="{C3380CC4-5D6E-409C-BE32-E72D297353CC}">
                <c16:uniqueId val="{0000007B-FC38-1C43-8357-D7CF17026529}"/>
              </c:ext>
            </c:extLst>
          </c:dPt>
          <c:dPt>
            <c:idx val="33"/>
            <c:bubble3D val="0"/>
            <c:spPr>
              <a:ln w="15875" cap="rnd">
                <a:solidFill>
                  <a:srgbClr val="C00000"/>
                </a:solidFill>
                <a:prstDash val="sysDash"/>
                <a:round/>
              </a:ln>
              <a:effectLst/>
            </c:spPr>
            <c:extLst>
              <c:ext xmlns:c16="http://schemas.microsoft.com/office/drawing/2014/chart" uri="{C3380CC4-5D6E-409C-BE32-E72D297353CC}">
                <c16:uniqueId val="{0000007C-FC38-1C43-8357-D7CF17026529}"/>
              </c:ext>
            </c:extLst>
          </c:dPt>
          <c:dPt>
            <c:idx val="34"/>
            <c:bubble3D val="0"/>
            <c:spPr>
              <a:ln w="15875" cap="rnd">
                <a:solidFill>
                  <a:srgbClr val="C00000"/>
                </a:solidFill>
                <a:prstDash val="sysDash"/>
                <a:round/>
              </a:ln>
              <a:effectLst/>
            </c:spPr>
            <c:extLst>
              <c:ext xmlns:c16="http://schemas.microsoft.com/office/drawing/2014/chart" uri="{C3380CC4-5D6E-409C-BE32-E72D297353CC}">
                <c16:uniqueId val="{0000007D-FC38-1C43-8357-D7CF17026529}"/>
              </c:ext>
            </c:extLst>
          </c:dPt>
          <c:dLbls>
            <c:dLbl>
              <c:idx val="0"/>
              <c:layout>
                <c:manualLayout>
                  <c:x val="-3.7992527587399211E-2"/>
                  <c:y val="-1.38319415471589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4-FC38-1C43-8357-D7CF17026529}"/>
                </c:ext>
              </c:extLst>
            </c:dLbl>
            <c:dLbl>
              <c:idx val="1"/>
              <c:delete val="1"/>
              <c:extLst>
                <c:ext xmlns:c15="http://schemas.microsoft.com/office/drawing/2012/chart" uri="{CE6537A1-D6FC-4f65-9D91-7224C49458BB}"/>
                <c:ext xmlns:c16="http://schemas.microsoft.com/office/drawing/2014/chart" uri="{C3380CC4-5D6E-409C-BE32-E72D297353CC}">
                  <c16:uniqueId val="{00000095-FC38-1C43-8357-D7CF17026529}"/>
                </c:ext>
              </c:extLst>
            </c:dLbl>
            <c:dLbl>
              <c:idx val="2"/>
              <c:delete val="1"/>
              <c:extLst>
                <c:ext xmlns:c15="http://schemas.microsoft.com/office/drawing/2012/chart" uri="{CE6537A1-D6FC-4f65-9D91-7224C49458BB}"/>
                <c:ext xmlns:c16="http://schemas.microsoft.com/office/drawing/2014/chart" uri="{C3380CC4-5D6E-409C-BE32-E72D297353CC}">
                  <c16:uniqueId val="{00000096-FC38-1C43-8357-D7CF17026529}"/>
                </c:ext>
              </c:extLst>
            </c:dLbl>
            <c:dLbl>
              <c:idx val="3"/>
              <c:delete val="1"/>
              <c:extLst>
                <c:ext xmlns:c15="http://schemas.microsoft.com/office/drawing/2012/chart" uri="{CE6537A1-D6FC-4f65-9D91-7224C49458BB}"/>
                <c:ext xmlns:c16="http://schemas.microsoft.com/office/drawing/2014/chart" uri="{C3380CC4-5D6E-409C-BE32-E72D297353CC}">
                  <c16:uniqueId val="{00000097-FC38-1C43-8357-D7CF17026529}"/>
                </c:ext>
              </c:extLst>
            </c:dLbl>
            <c:dLbl>
              <c:idx val="5"/>
              <c:delete val="1"/>
              <c:extLst>
                <c:ext xmlns:c15="http://schemas.microsoft.com/office/drawing/2012/chart" uri="{CE6537A1-D6FC-4f65-9D91-7224C49458BB}"/>
                <c:ext xmlns:c16="http://schemas.microsoft.com/office/drawing/2014/chart" uri="{C3380CC4-5D6E-409C-BE32-E72D297353CC}">
                  <c16:uniqueId val="{00000098-FC38-1C43-8357-D7CF17026529}"/>
                </c:ext>
              </c:extLst>
            </c:dLbl>
            <c:dLbl>
              <c:idx val="7"/>
              <c:delete val="1"/>
              <c:extLst>
                <c:ext xmlns:c15="http://schemas.microsoft.com/office/drawing/2012/chart" uri="{CE6537A1-D6FC-4f65-9D91-7224C49458BB}"/>
                <c:ext xmlns:c16="http://schemas.microsoft.com/office/drawing/2014/chart" uri="{C3380CC4-5D6E-409C-BE32-E72D297353CC}">
                  <c16:uniqueId val="{0000007E-FC38-1C43-8357-D7CF17026529}"/>
                </c:ext>
              </c:extLst>
            </c:dLbl>
            <c:dLbl>
              <c:idx val="9"/>
              <c:delete val="1"/>
              <c:extLst>
                <c:ext xmlns:c15="http://schemas.microsoft.com/office/drawing/2012/chart" uri="{CE6537A1-D6FC-4f65-9D91-7224C49458BB}"/>
                <c:ext xmlns:c16="http://schemas.microsoft.com/office/drawing/2014/chart" uri="{C3380CC4-5D6E-409C-BE32-E72D297353CC}">
                  <c16:uniqueId val="{00000099-FC38-1C43-8357-D7CF17026529}"/>
                </c:ext>
              </c:extLst>
            </c:dLbl>
            <c:dLbl>
              <c:idx val="11"/>
              <c:delete val="1"/>
              <c:extLst>
                <c:ext xmlns:c15="http://schemas.microsoft.com/office/drawing/2012/chart" uri="{CE6537A1-D6FC-4f65-9D91-7224C49458BB}"/>
                <c:ext xmlns:c16="http://schemas.microsoft.com/office/drawing/2014/chart" uri="{C3380CC4-5D6E-409C-BE32-E72D297353CC}">
                  <c16:uniqueId val="{0000009A-FC38-1C43-8357-D7CF17026529}"/>
                </c:ext>
              </c:extLst>
            </c:dLbl>
            <c:dLbl>
              <c:idx val="13"/>
              <c:delete val="1"/>
              <c:extLst>
                <c:ext xmlns:c15="http://schemas.microsoft.com/office/drawing/2012/chart" uri="{CE6537A1-D6FC-4f65-9D91-7224C49458BB}"/>
                <c:ext xmlns:c16="http://schemas.microsoft.com/office/drawing/2014/chart" uri="{C3380CC4-5D6E-409C-BE32-E72D297353CC}">
                  <c16:uniqueId val="{0000009B-FC38-1C43-8357-D7CF17026529}"/>
                </c:ext>
              </c:extLst>
            </c:dLbl>
            <c:dLbl>
              <c:idx val="17"/>
              <c:delete val="1"/>
              <c:extLst>
                <c:ext xmlns:c15="http://schemas.microsoft.com/office/drawing/2012/chart" uri="{CE6537A1-D6FC-4f65-9D91-7224C49458BB}"/>
                <c:ext xmlns:c16="http://schemas.microsoft.com/office/drawing/2014/chart" uri="{C3380CC4-5D6E-409C-BE32-E72D297353CC}">
                  <c16:uniqueId val="{0000009C-FC38-1C43-8357-D7CF17026529}"/>
                </c:ext>
              </c:extLst>
            </c:dLbl>
            <c:dLbl>
              <c:idx val="18"/>
              <c:delete val="1"/>
              <c:extLst>
                <c:ext xmlns:c15="http://schemas.microsoft.com/office/drawing/2012/chart" uri="{CE6537A1-D6FC-4f65-9D91-7224C49458BB}"/>
                <c:ext xmlns:c16="http://schemas.microsoft.com/office/drawing/2014/chart" uri="{C3380CC4-5D6E-409C-BE32-E72D297353CC}">
                  <c16:uniqueId val="{0000009D-FC38-1C43-8357-D7CF17026529}"/>
                </c:ext>
              </c:extLst>
            </c:dLbl>
            <c:dLbl>
              <c:idx val="19"/>
              <c:delete val="1"/>
              <c:extLst>
                <c:ext xmlns:c15="http://schemas.microsoft.com/office/drawing/2012/chart" uri="{CE6537A1-D6FC-4f65-9D91-7224C49458BB}"/>
                <c:ext xmlns:c16="http://schemas.microsoft.com/office/drawing/2014/chart" uri="{C3380CC4-5D6E-409C-BE32-E72D297353CC}">
                  <c16:uniqueId val="{0000009E-FC38-1C43-8357-D7CF17026529}"/>
                </c:ext>
              </c:extLst>
            </c:dLbl>
            <c:dLbl>
              <c:idx val="21"/>
              <c:delete val="1"/>
              <c:extLst>
                <c:ext xmlns:c15="http://schemas.microsoft.com/office/drawing/2012/chart" uri="{CE6537A1-D6FC-4f65-9D91-7224C49458BB}"/>
                <c:ext xmlns:c16="http://schemas.microsoft.com/office/drawing/2014/chart" uri="{C3380CC4-5D6E-409C-BE32-E72D297353CC}">
                  <c16:uniqueId val="{0000009F-FC38-1C43-8357-D7CF17026529}"/>
                </c:ext>
              </c:extLst>
            </c:dLbl>
            <c:dLbl>
              <c:idx val="26"/>
              <c:delete val="1"/>
              <c:extLst>
                <c:ext xmlns:c15="http://schemas.microsoft.com/office/drawing/2012/chart" uri="{CE6537A1-D6FC-4f65-9D91-7224C49458BB}"/>
                <c:ext xmlns:c16="http://schemas.microsoft.com/office/drawing/2014/chart" uri="{C3380CC4-5D6E-409C-BE32-E72D297353CC}">
                  <c16:uniqueId val="{00000075-FC38-1C43-8357-D7CF17026529}"/>
                </c:ext>
              </c:extLst>
            </c:dLbl>
            <c:dLbl>
              <c:idx val="28"/>
              <c:delete val="1"/>
              <c:extLst>
                <c:ext xmlns:c15="http://schemas.microsoft.com/office/drawing/2012/chart" uri="{CE6537A1-D6FC-4f65-9D91-7224C49458BB}"/>
                <c:ext xmlns:c16="http://schemas.microsoft.com/office/drawing/2014/chart" uri="{C3380CC4-5D6E-409C-BE32-E72D297353CC}">
                  <c16:uniqueId val="{00000077-FC38-1C43-8357-D7CF17026529}"/>
                </c:ext>
              </c:extLst>
            </c:dLbl>
            <c:dLbl>
              <c:idx val="30"/>
              <c:delete val="1"/>
              <c:extLst>
                <c:ext xmlns:c15="http://schemas.microsoft.com/office/drawing/2012/chart" uri="{CE6537A1-D6FC-4f65-9D91-7224C49458BB}"/>
                <c:ext xmlns:c16="http://schemas.microsoft.com/office/drawing/2014/chart" uri="{C3380CC4-5D6E-409C-BE32-E72D297353CC}">
                  <c16:uniqueId val="{00000079-FC38-1C43-8357-D7CF17026529}"/>
                </c:ext>
              </c:extLst>
            </c:dLbl>
            <c:dLbl>
              <c:idx val="32"/>
              <c:delete val="1"/>
              <c:extLst>
                <c:ext xmlns:c15="http://schemas.microsoft.com/office/drawing/2012/chart" uri="{CE6537A1-D6FC-4f65-9D91-7224C49458BB}"/>
                <c:ext xmlns:c16="http://schemas.microsoft.com/office/drawing/2014/chart" uri="{C3380CC4-5D6E-409C-BE32-E72D297353CC}">
                  <c16:uniqueId val="{0000007B-FC38-1C43-8357-D7CF17026529}"/>
                </c:ext>
              </c:extLst>
            </c:dLbl>
            <c:dLbl>
              <c:idx val="33"/>
              <c:delete val="1"/>
              <c:extLst>
                <c:ext xmlns:c15="http://schemas.microsoft.com/office/drawing/2012/chart" uri="{CE6537A1-D6FC-4f65-9D91-7224C49458BB}"/>
                <c:ext xmlns:c16="http://schemas.microsoft.com/office/drawing/2014/chart" uri="{C3380CC4-5D6E-409C-BE32-E72D297353CC}">
                  <c16:uniqueId val="{0000007C-FC38-1C43-8357-D7CF17026529}"/>
                </c:ext>
              </c:extLst>
            </c:dLbl>
            <c:spPr>
              <a:noFill/>
              <a:ln>
                <a:noFill/>
              </a:ln>
              <a:effectLst/>
            </c:spPr>
            <c:txPr>
              <a:bodyPr wrap="square" lIns="38100" tIns="19050" rIns="38100" bIns="19050" anchor="ctr">
                <a:spAutoFit/>
              </a:bodyPr>
              <a:lstStyle/>
              <a:p>
                <a:pPr>
                  <a:defRPr sz="900" b="1">
                    <a:solidFill>
                      <a:srgbClr val="C00000"/>
                    </a:solidFill>
                  </a:defRPr>
                </a:pPr>
                <a:endParaRPr lang="en-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'Dinámica de la deuda'!$C$31:$AK$31</c:f>
              <c:numCache>
                <c:formatCode>0</c:formatCode>
                <c:ptCount val="3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pt idx="25">
                  <c:v>2025</c:v>
                </c:pt>
                <c:pt idx="26">
                  <c:v>2026</c:v>
                </c:pt>
                <c:pt idx="27">
                  <c:v>2027</c:v>
                </c:pt>
                <c:pt idx="28">
                  <c:v>2028</c:v>
                </c:pt>
                <c:pt idx="29">
                  <c:v>2029</c:v>
                </c:pt>
                <c:pt idx="30">
                  <c:v>2030</c:v>
                </c:pt>
                <c:pt idx="31">
                  <c:v>2031</c:v>
                </c:pt>
                <c:pt idx="32">
                  <c:v>2032</c:v>
                </c:pt>
                <c:pt idx="33">
                  <c:v>2033</c:v>
                </c:pt>
                <c:pt idx="34">
                  <c:v>2034</c:v>
                </c:pt>
              </c:numCache>
            </c:numRef>
          </c:cat>
          <c:val>
            <c:numRef>
              <c:f>'Dinámica de la deuda'!$C$27:$AK$27</c:f>
              <c:numCache>
                <c:formatCode>#,##0.0</c:formatCode>
                <c:ptCount val="35"/>
                <c:pt idx="0" formatCode="0.0">
                  <c:v>10.62683617305186</c:v>
                </c:pt>
                <c:pt idx="1">
                  <c:v>10.213238281188579</c:v>
                </c:pt>
                <c:pt idx="2">
                  <c:v>9.6179367636628399</c:v>
                </c:pt>
                <c:pt idx="3">
                  <c:v>8.6070646041436252</c:v>
                </c:pt>
                <c:pt idx="4">
                  <c:v>7.8440668829392921</c:v>
                </c:pt>
                <c:pt idx="5">
                  <c:v>8.4186097380866283</c:v>
                </c:pt>
                <c:pt idx="6">
                  <c:v>8.7124721567535097</c:v>
                </c:pt>
                <c:pt idx="7">
                  <c:v>8.0049748593642036</c:v>
                </c:pt>
                <c:pt idx="8">
                  <c:v>7.8388616482908073</c:v>
                </c:pt>
                <c:pt idx="9">
                  <c:v>7.2170433888154388</c:v>
                </c:pt>
                <c:pt idx="10">
                  <c:v>6.6686576566426234</c:v>
                </c:pt>
                <c:pt idx="11">
                  <c:v>6.2912170279295463</c:v>
                </c:pt>
                <c:pt idx="12">
                  <c:v>5.7981634210511883</c:v>
                </c:pt>
                <c:pt idx="13">
                  <c:v>6.054952436778029</c:v>
                </c:pt>
                <c:pt idx="14">
                  <c:v>5.6285389222504181</c:v>
                </c:pt>
                <c:pt idx="15">
                  <c:v>6.1574762973804065</c:v>
                </c:pt>
                <c:pt idx="16">
                  <c:v>4.8069976020114025</c:v>
                </c:pt>
                <c:pt idx="17">
                  <c:v>5.0228419509823095</c:v>
                </c:pt>
                <c:pt idx="18">
                  <c:v>4.9152682386121711</c:v>
                </c:pt>
                <c:pt idx="19">
                  <c:v>4.9041855888737205</c:v>
                </c:pt>
                <c:pt idx="20">
                  <c:v>5.1438225705546419</c:v>
                </c:pt>
                <c:pt idx="21">
                  <c:v>4.3509342469487011</c:v>
                </c:pt>
                <c:pt idx="22">
                  <c:v>3.8712280792447542</c:v>
                </c:pt>
                <c:pt idx="23">
                  <c:v>0</c:v>
                </c:pt>
                <c:pt idx="24">
                  <c:v>0</c:v>
                </c:pt>
                <c:pt idx="25">
                  <c:v>0</c:v>
                </c:pt>
                <c:pt idx="26">
                  <c:v>0</c:v>
                </c:pt>
                <c:pt idx="27">
                  <c:v>0</c:v>
                </c:pt>
                <c:pt idx="28">
                  <c:v>0</c:v>
                </c:pt>
                <c:pt idx="29">
                  <c:v>0</c:v>
                </c:pt>
                <c:pt idx="30">
                  <c:v>0</c:v>
                </c:pt>
                <c:pt idx="31">
                  <c:v>0</c:v>
                </c:pt>
                <c:pt idx="32">
                  <c:v>0</c:v>
                </c:pt>
                <c:pt idx="33">
                  <c:v>0</c:v>
                </c:pt>
                <c:pt idx="34">
                  <c:v>0</c:v>
                </c:pt>
              </c:numCache>
            </c:numRef>
          </c:val>
          <c:smooth val="0"/>
          <c:extLst>
            <c:ext xmlns:c16="http://schemas.microsoft.com/office/drawing/2014/chart" uri="{C3380CC4-5D6E-409C-BE32-E72D297353CC}">
              <c16:uniqueId val="{00000071-FC38-1C43-8357-D7CF17026529}"/>
            </c:ext>
          </c:extLst>
        </c:ser>
        <c:ser>
          <c:idx val="0"/>
          <c:order val="2"/>
          <c:tx>
            <c:v>Total</c:v>
          </c:tx>
          <c:spPr>
            <a:ln w="22225" cap="rnd">
              <a:solidFill>
                <a:schemeClr val="tx1"/>
              </a:solidFill>
              <a:round/>
            </a:ln>
            <a:effectLst/>
          </c:spPr>
          <c:marker>
            <c:symbol val="none"/>
          </c:marker>
          <c:dPt>
            <c:idx val="23"/>
            <c:bubble3D val="0"/>
            <c:spPr>
              <a:ln w="22225" cap="rnd">
                <a:solidFill>
                  <a:schemeClr val="tx1"/>
                </a:solidFill>
                <a:prstDash val="sysDash"/>
                <a:round/>
              </a:ln>
              <a:effectLst/>
            </c:spPr>
            <c:extLst>
              <c:ext xmlns:c16="http://schemas.microsoft.com/office/drawing/2014/chart" uri="{C3380CC4-5D6E-409C-BE32-E72D297353CC}">
                <c16:uniqueId val="{00000032-FC38-1C43-8357-D7CF17026529}"/>
              </c:ext>
            </c:extLst>
          </c:dPt>
          <c:dPt>
            <c:idx val="24"/>
            <c:bubble3D val="0"/>
            <c:spPr>
              <a:ln w="22225" cap="rnd">
                <a:solidFill>
                  <a:schemeClr val="tx1"/>
                </a:solidFill>
                <a:prstDash val="sysDash"/>
                <a:round/>
              </a:ln>
              <a:effectLst/>
            </c:spPr>
            <c:extLst>
              <c:ext xmlns:c16="http://schemas.microsoft.com/office/drawing/2014/chart" uri="{C3380CC4-5D6E-409C-BE32-E72D297353CC}">
                <c16:uniqueId val="{00000034-FC38-1C43-8357-D7CF17026529}"/>
              </c:ext>
            </c:extLst>
          </c:dPt>
          <c:dPt>
            <c:idx val="25"/>
            <c:bubble3D val="0"/>
            <c:spPr>
              <a:ln w="22225" cap="rnd">
                <a:solidFill>
                  <a:schemeClr val="tx1"/>
                </a:solidFill>
                <a:prstDash val="sysDash"/>
                <a:round/>
              </a:ln>
              <a:effectLst/>
            </c:spPr>
            <c:extLst>
              <c:ext xmlns:c16="http://schemas.microsoft.com/office/drawing/2014/chart" uri="{C3380CC4-5D6E-409C-BE32-E72D297353CC}">
                <c16:uniqueId val="{00000036-FC38-1C43-8357-D7CF17026529}"/>
              </c:ext>
            </c:extLst>
          </c:dPt>
          <c:dPt>
            <c:idx val="26"/>
            <c:bubble3D val="0"/>
            <c:spPr>
              <a:ln w="22225" cap="rnd">
                <a:solidFill>
                  <a:schemeClr val="tx1"/>
                </a:solidFill>
                <a:prstDash val="sysDash"/>
                <a:round/>
              </a:ln>
              <a:effectLst/>
            </c:spPr>
            <c:extLst>
              <c:ext xmlns:c16="http://schemas.microsoft.com/office/drawing/2014/chart" uri="{C3380CC4-5D6E-409C-BE32-E72D297353CC}">
                <c16:uniqueId val="{00000038-FC38-1C43-8357-D7CF17026529}"/>
              </c:ext>
            </c:extLst>
          </c:dPt>
          <c:dPt>
            <c:idx val="27"/>
            <c:bubble3D val="0"/>
            <c:spPr>
              <a:ln w="22225" cap="rnd">
                <a:solidFill>
                  <a:schemeClr val="tx1"/>
                </a:solidFill>
                <a:prstDash val="sysDash"/>
                <a:round/>
              </a:ln>
              <a:effectLst/>
            </c:spPr>
            <c:extLst>
              <c:ext xmlns:c16="http://schemas.microsoft.com/office/drawing/2014/chart" uri="{C3380CC4-5D6E-409C-BE32-E72D297353CC}">
                <c16:uniqueId val="{0000003A-FC38-1C43-8357-D7CF17026529}"/>
              </c:ext>
            </c:extLst>
          </c:dPt>
          <c:dPt>
            <c:idx val="28"/>
            <c:bubble3D val="0"/>
            <c:spPr>
              <a:ln w="22225" cap="rnd">
                <a:solidFill>
                  <a:schemeClr val="tx1"/>
                </a:solidFill>
                <a:prstDash val="sysDash"/>
                <a:round/>
              </a:ln>
              <a:effectLst/>
            </c:spPr>
            <c:extLst>
              <c:ext xmlns:c16="http://schemas.microsoft.com/office/drawing/2014/chart" uri="{C3380CC4-5D6E-409C-BE32-E72D297353CC}">
                <c16:uniqueId val="{0000003C-FC38-1C43-8357-D7CF17026529}"/>
              </c:ext>
            </c:extLst>
          </c:dPt>
          <c:dPt>
            <c:idx val="29"/>
            <c:bubble3D val="0"/>
            <c:spPr>
              <a:ln w="22225" cap="rnd">
                <a:solidFill>
                  <a:schemeClr val="tx1"/>
                </a:solidFill>
                <a:prstDash val="sysDash"/>
                <a:round/>
              </a:ln>
              <a:effectLst/>
            </c:spPr>
            <c:extLst>
              <c:ext xmlns:c16="http://schemas.microsoft.com/office/drawing/2014/chart" uri="{C3380CC4-5D6E-409C-BE32-E72D297353CC}">
                <c16:uniqueId val="{0000003E-FC38-1C43-8357-D7CF17026529}"/>
              </c:ext>
            </c:extLst>
          </c:dPt>
          <c:dPt>
            <c:idx val="30"/>
            <c:bubble3D val="0"/>
            <c:spPr>
              <a:ln w="22225" cap="rnd">
                <a:solidFill>
                  <a:schemeClr val="tx1"/>
                </a:solidFill>
                <a:prstDash val="sysDash"/>
                <a:round/>
              </a:ln>
              <a:effectLst/>
            </c:spPr>
            <c:extLst>
              <c:ext xmlns:c16="http://schemas.microsoft.com/office/drawing/2014/chart" uri="{C3380CC4-5D6E-409C-BE32-E72D297353CC}">
                <c16:uniqueId val="{00000040-FC38-1C43-8357-D7CF17026529}"/>
              </c:ext>
            </c:extLst>
          </c:dPt>
          <c:dPt>
            <c:idx val="31"/>
            <c:bubble3D val="0"/>
            <c:spPr>
              <a:ln w="22225" cap="rnd">
                <a:solidFill>
                  <a:schemeClr val="tx1"/>
                </a:solidFill>
                <a:prstDash val="sysDash"/>
                <a:round/>
              </a:ln>
              <a:effectLst/>
            </c:spPr>
            <c:extLst>
              <c:ext xmlns:c16="http://schemas.microsoft.com/office/drawing/2014/chart" uri="{C3380CC4-5D6E-409C-BE32-E72D297353CC}">
                <c16:uniqueId val="{00000042-FC38-1C43-8357-D7CF17026529}"/>
              </c:ext>
            </c:extLst>
          </c:dPt>
          <c:dPt>
            <c:idx val="32"/>
            <c:bubble3D val="0"/>
            <c:spPr>
              <a:ln w="22225" cap="rnd">
                <a:solidFill>
                  <a:schemeClr val="tx1"/>
                </a:solidFill>
                <a:prstDash val="sysDash"/>
                <a:round/>
              </a:ln>
              <a:effectLst/>
            </c:spPr>
            <c:extLst>
              <c:ext xmlns:c16="http://schemas.microsoft.com/office/drawing/2014/chart" uri="{C3380CC4-5D6E-409C-BE32-E72D297353CC}">
                <c16:uniqueId val="{00000044-FC38-1C43-8357-D7CF17026529}"/>
              </c:ext>
            </c:extLst>
          </c:dPt>
          <c:dPt>
            <c:idx val="33"/>
            <c:bubble3D val="0"/>
            <c:spPr>
              <a:ln w="22225" cap="rnd">
                <a:solidFill>
                  <a:schemeClr val="tx1"/>
                </a:solidFill>
                <a:prstDash val="sysDash"/>
                <a:round/>
              </a:ln>
              <a:effectLst/>
            </c:spPr>
            <c:extLst>
              <c:ext xmlns:c16="http://schemas.microsoft.com/office/drawing/2014/chart" uri="{C3380CC4-5D6E-409C-BE32-E72D297353CC}">
                <c16:uniqueId val="{00000046-FC38-1C43-8357-D7CF17026529}"/>
              </c:ext>
            </c:extLst>
          </c:dPt>
          <c:dPt>
            <c:idx val="34"/>
            <c:bubble3D val="0"/>
            <c:spPr>
              <a:ln w="22225" cap="rnd">
                <a:solidFill>
                  <a:schemeClr val="tx1"/>
                </a:solidFill>
                <a:prstDash val="sysDash"/>
                <a:round/>
              </a:ln>
              <a:effectLst/>
            </c:spPr>
            <c:extLst>
              <c:ext xmlns:c16="http://schemas.microsoft.com/office/drawing/2014/chart" uri="{C3380CC4-5D6E-409C-BE32-E72D297353CC}">
                <c16:uniqueId val="{00000048-FC38-1C43-8357-D7CF17026529}"/>
              </c:ext>
            </c:extLst>
          </c:dPt>
          <c:dLbls>
            <c:dLbl>
              <c:idx val="0"/>
              <c:layout>
                <c:manualLayout>
                  <c:x val="-4.0601919173596034E-2"/>
                  <c:y val="-2.99692066855110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FC38-1C43-8357-D7CF17026529}"/>
                </c:ext>
              </c:extLst>
            </c:dLbl>
            <c:dLbl>
              <c:idx val="2"/>
              <c:delete val="1"/>
              <c:extLst>
                <c:ext xmlns:c15="http://schemas.microsoft.com/office/drawing/2012/chart" uri="{CE6537A1-D6FC-4f65-9D91-7224C49458BB}"/>
                <c:ext xmlns:c16="http://schemas.microsoft.com/office/drawing/2014/chart" uri="{C3380CC4-5D6E-409C-BE32-E72D297353CC}">
                  <c16:uniqueId val="{00000087-FC38-1C43-8357-D7CF17026529}"/>
                </c:ext>
              </c:extLst>
            </c:dLbl>
            <c:dLbl>
              <c:idx val="3"/>
              <c:delete val="1"/>
              <c:extLst>
                <c:ext xmlns:c15="http://schemas.microsoft.com/office/drawing/2012/chart" uri="{CE6537A1-D6FC-4f65-9D91-7224C49458BB}"/>
                <c:ext xmlns:c16="http://schemas.microsoft.com/office/drawing/2014/chart" uri="{C3380CC4-5D6E-409C-BE32-E72D297353CC}">
                  <c16:uniqueId val="{00000088-FC38-1C43-8357-D7CF17026529}"/>
                </c:ext>
              </c:extLst>
            </c:dLbl>
            <c:dLbl>
              <c:idx val="4"/>
              <c:delete val="1"/>
              <c:extLst>
                <c:ext xmlns:c15="http://schemas.microsoft.com/office/drawing/2012/chart" uri="{CE6537A1-D6FC-4f65-9D91-7224C49458BB}"/>
                <c:ext xmlns:c16="http://schemas.microsoft.com/office/drawing/2014/chart" uri="{C3380CC4-5D6E-409C-BE32-E72D297353CC}">
                  <c16:uniqueId val="{00000089-FC38-1C43-8357-D7CF17026529}"/>
                </c:ext>
              </c:extLst>
            </c:dLbl>
            <c:dLbl>
              <c:idx val="5"/>
              <c:delete val="1"/>
              <c:extLst>
                <c:ext xmlns:c15="http://schemas.microsoft.com/office/drawing/2012/chart" uri="{CE6537A1-D6FC-4f65-9D91-7224C49458BB}"/>
                <c:ext xmlns:c16="http://schemas.microsoft.com/office/drawing/2014/chart" uri="{C3380CC4-5D6E-409C-BE32-E72D297353CC}">
                  <c16:uniqueId val="{0000008A-FC38-1C43-8357-D7CF17026529}"/>
                </c:ext>
              </c:extLst>
            </c:dLbl>
            <c:dLbl>
              <c:idx val="6"/>
              <c:delete val="1"/>
              <c:extLst>
                <c:ext xmlns:c15="http://schemas.microsoft.com/office/drawing/2012/chart" uri="{CE6537A1-D6FC-4f65-9D91-7224C49458BB}"/>
                <c:ext xmlns:c16="http://schemas.microsoft.com/office/drawing/2014/chart" uri="{C3380CC4-5D6E-409C-BE32-E72D297353CC}">
                  <c16:uniqueId val="{0000008B-FC38-1C43-8357-D7CF17026529}"/>
                </c:ext>
              </c:extLst>
            </c:dLbl>
            <c:dLbl>
              <c:idx val="8"/>
              <c:delete val="1"/>
              <c:extLst>
                <c:ext xmlns:c15="http://schemas.microsoft.com/office/drawing/2012/chart" uri="{CE6537A1-D6FC-4f65-9D91-7224C49458BB}"/>
                <c:ext xmlns:c16="http://schemas.microsoft.com/office/drawing/2014/chart" uri="{C3380CC4-5D6E-409C-BE32-E72D297353CC}">
                  <c16:uniqueId val="{00000092-FC38-1C43-8357-D7CF17026529}"/>
                </c:ext>
              </c:extLst>
            </c:dLbl>
            <c:dLbl>
              <c:idx val="9"/>
              <c:delete val="1"/>
              <c:extLst>
                <c:ext xmlns:c15="http://schemas.microsoft.com/office/drawing/2012/chart" uri="{CE6537A1-D6FC-4f65-9D91-7224C49458BB}"/>
                <c:ext xmlns:c16="http://schemas.microsoft.com/office/drawing/2014/chart" uri="{C3380CC4-5D6E-409C-BE32-E72D297353CC}">
                  <c16:uniqueId val="{00000093-FC38-1C43-8357-D7CF17026529}"/>
                </c:ext>
              </c:extLst>
            </c:dLbl>
            <c:dLbl>
              <c:idx val="12"/>
              <c:delete val="1"/>
              <c:extLst>
                <c:ext xmlns:c15="http://schemas.microsoft.com/office/drawing/2012/chart" uri="{CE6537A1-D6FC-4f65-9D91-7224C49458BB}"/>
                <c:ext xmlns:c16="http://schemas.microsoft.com/office/drawing/2014/chart" uri="{C3380CC4-5D6E-409C-BE32-E72D297353CC}">
                  <c16:uniqueId val="{00000091-FC38-1C43-8357-D7CF17026529}"/>
                </c:ext>
              </c:extLst>
            </c:dLbl>
            <c:dLbl>
              <c:idx val="13"/>
              <c:delete val="1"/>
              <c:extLst>
                <c:ext xmlns:c15="http://schemas.microsoft.com/office/drawing/2012/chart" uri="{CE6537A1-D6FC-4f65-9D91-7224C49458BB}"/>
                <c:ext xmlns:c16="http://schemas.microsoft.com/office/drawing/2014/chart" uri="{C3380CC4-5D6E-409C-BE32-E72D297353CC}">
                  <c16:uniqueId val="{0000008E-FC38-1C43-8357-D7CF17026529}"/>
                </c:ext>
              </c:extLst>
            </c:dLbl>
            <c:dLbl>
              <c:idx val="15"/>
              <c:delete val="1"/>
              <c:extLst>
                <c:ext xmlns:c15="http://schemas.microsoft.com/office/drawing/2012/chart" uri="{CE6537A1-D6FC-4f65-9D91-7224C49458BB}"/>
                <c:ext xmlns:c16="http://schemas.microsoft.com/office/drawing/2014/chart" uri="{C3380CC4-5D6E-409C-BE32-E72D297353CC}">
                  <c16:uniqueId val="{0000008D-FC38-1C43-8357-D7CF17026529}"/>
                </c:ext>
              </c:extLst>
            </c:dLbl>
            <c:dLbl>
              <c:idx val="17"/>
              <c:delete val="1"/>
              <c:extLst>
                <c:ext xmlns:c15="http://schemas.microsoft.com/office/drawing/2012/chart" uri="{CE6537A1-D6FC-4f65-9D91-7224C49458BB}"/>
                <c:ext xmlns:c16="http://schemas.microsoft.com/office/drawing/2014/chart" uri="{C3380CC4-5D6E-409C-BE32-E72D297353CC}">
                  <c16:uniqueId val="{0000008F-FC38-1C43-8357-D7CF17026529}"/>
                </c:ext>
              </c:extLst>
            </c:dLbl>
            <c:dLbl>
              <c:idx val="18"/>
              <c:delete val="1"/>
              <c:extLst>
                <c:ext xmlns:c15="http://schemas.microsoft.com/office/drawing/2012/chart" uri="{CE6537A1-D6FC-4f65-9D91-7224C49458BB}"/>
                <c:ext xmlns:c16="http://schemas.microsoft.com/office/drawing/2014/chart" uri="{C3380CC4-5D6E-409C-BE32-E72D297353CC}">
                  <c16:uniqueId val="{0000008C-FC38-1C43-8357-D7CF17026529}"/>
                </c:ext>
              </c:extLst>
            </c:dLbl>
            <c:dLbl>
              <c:idx val="20"/>
              <c:delete val="1"/>
              <c:extLst>
                <c:ext xmlns:c15="http://schemas.microsoft.com/office/drawing/2012/chart" uri="{CE6537A1-D6FC-4f65-9D91-7224C49458BB}"/>
                <c:ext xmlns:c16="http://schemas.microsoft.com/office/drawing/2014/chart" uri="{C3380CC4-5D6E-409C-BE32-E72D297353CC}">
                  <c16:uniqueId val="{00000090-FC38-1C43-8357-D7CF17026529}"/>
                </c:ext>
              </c:extLst>
            </c:dLbl>
            <c:dLbl>
              <c:idx val="22"/>
              <c:layout>
                <c:manualLayout>
                  <c:x val="-2.8234117956827662E-2"/>
                  <c:y val="-1.767414753248097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FC38-1C43-8357-D7CF17026529}"/>
                </c:ext>
              </c:extLst>
            </c:dLbl>
            <c:dLbl>
              <c:idx val="24"/>
              <c:layout>
                <c:manualLayout>
                  <c:x val="-3.1808626979014959E-2"/>
                  <c:y val="-8.4528531677082377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FC38-1C43-8357-D7CF17026529}"/>
                </c:ext>
              </c:extLst>
            </c:dLbl>
            <c:dLbl>
              <c:idx val="26"/>
              <c:delete val="1"/>
              <c:extLst>
                <c:ext xmlns:c15="http://schemas.microsoft.com/office/drawing/2012/chart" uri="{CE6537A1-D6FC-4f65-9D91-7224C49458BB}"/>
                <c:ext xmlns:c16="http://schemas.microsoft.com/office/drawing/2014/chart" uri="{C3380CC4-5D6E-409C-BE32-E72D297353CC}">
                  <c16:uniqueId val="{00000038-FC38-1C43-8357-D7CF17026529}"/>
                </c:ext>
              </c:extLst>
            </c:dLbl>
            <c:dLbl>
              <c:idx val="28"/>
              <c:delete val="1"/>
              <c:extLst>
                <c:ext xmlns:c15="http://schemas.microsoft.com/office/drawing/2012/chart" uri="{CE6537A1-D6FC-4f65-9D91-7224C49458BB}"/>
                <c:ext xmlns:c16="http://schemas.microsoft.com/office/drawing/2014/chart" uri="{C3380CC4-5D6E-409C-BE32-E72D297353CC}">
                  <c16:uniqueId val="{0000003C-FC38-1C43-8357-D7CF17026529}"/>
                </c:ext>
              </c:extLst>
            </c:dLbl>
            <c:dLbl>
              <c:idx val="30"/>
              <c:delete val="1"/>
              <c:extLst>
                <c:ext xmlns:c15="http://schemas.microsoft.com/office/drawing/2012/chart" uri="{CE6537A1-D6FC-4f65-9D91-7224C49458BB}"/>
                <c:ext xmlns:c16="http://schemas.microsoft.com/office/drawing/2014/chart" uri="{C3380CC4-5D6E-409C-BE32-E72D297353CC}">
                  <c16:uniqueId val="{00000040-FC38-1C43-8357-D7CF17026529}"/>
                </c:ext>
              </c:extLst>
            </c:dLbl>
            <c:dLbl>
              <c:idx val="32"/>
              <c:delete val="1"/>
              <c:extLst>
                <c:ext xmlns:c15="http://schemas.microsoft.com/office/drawing/2012/chart" uri="{CE6537A1-D6FC-4f65-9D91-7224C49458BB}"/>
                <c:ext xmlns:c16="http://schemas.microsoft.com/office/drawing/2014/chart" uri="{C3380CC4-5D6E-409C-BE32-E72D297353CC}">
                  <c16:uniqueId val="{00000044-FC38-1C43-8357-D7CF17026529}"/>
                </c:ext>
              </c:extLst>
            </c:dLbl>
            <c:dLbl>
              <c:idx val="33"/>
              <c:delete val="1"/>
              <c:extLst>
                <c:ext xmlns:c15="http://schemas.microsoft.com/office/drawing/2012/chart" uri="{CE6537A1-D6FC-4f65-9D91-7224C49458BB}"/>
                <c:ext xmlns:c16="http://schemas.microsoft.com/office/drawing/2014/chart" uri="{C3380CC4-5D6E-409C-BE32-E72D297353CC}">
                  <c16:uniqueId val="{00000046-FC38-1C43-8357-D7CF17026529}"/>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Helvetica" pitchFamily="2" charset="0"/>
                    <a:ea typeface="+mn-ea"/>
                    <a:cs typeface="+mn-cs"/>
                  </a:defRPr>
                </a:pPr>
                <a:endParaRPr lang="en-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deuda'!$C$31:$AK$31</c:f>
              <c:numCache>
                <c:formatCode>0</c:formatCode>
                <c:ptCount val="3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pt idx="25">
                  <c:v>2025</c:v>
                </c:pt>
                <c:pt idx="26">
                  <c:v>2026</c:v>
                </c:pt>
                <c:pt idx="27">
                  <c:v>2027</c:v>
                </c:pt>
                <c:pt idx="28">
                  <c:v>2028</c:v>
                </c:pt>
                <c:pt idx="29">
                  <c:v>2029</c:v>
                </c:pt>
                <c:pt idx="30">
                  <c:v>2030</c:v>
                </c:pt>
                <c:pt idx="31">
                  <c:v>2031</c:v>
                </c:pt>
                <c:pt idx="32">
                  <c:v>2032</c:v>
                </c:pt>
                <c:pt idx="33">
                  <c:v>2033</c:v>
                </c:pt>
                <c:pt idx="34">
                  <c:v>2034</c:v>
                </c:pt>
              </c:numCache>
            </c:numRef>
          </c:cat>
          <c:val>
            <c:numRef>
              <c:f>'Dinámica de la deuda'!$C$28:$AK$28</c:f>
              <c:numCache>
                <c:formatCode>0.0</c:formatCode>
                <c:ptCount val="35"/>
                <c:pt idx="0">
                  <c:v>13.405705546801086</c:v>
                </c:pt>
                <c:pt idx="1">
                  <c:v>10.746609803384411</c:v>
                </c:pt>
                <c:pt idx="2">
                  <c:v>9.7705538944968744</c:v>
                </c:pt>
                <c:pt idx="3">
                  <c:v>9.2927266549231966</c:v>
                </c:pt>
                <c:pt idx="4">
                  <c:v>8.9799279904589202</c:v>
                </c:pt>
                <c:pt idx="5">
                  <c:v>8.3875204345169543</c:v>
                </c:pt>
                <c:pt idx="6">
                  <c:v>10.21687023455368</c:v>
                </c:pt>
                <c:pt idx="7">
                  <c:v>10.907474383202334</c:v>
                </c:pt>
                <c:pt idx="8">
                  <c:v>10.031135608382437</c:v>
                </c:pt>
                <c:pt idx="9">
                  <c:v>9.0152855708195041</c:v>
                </c:pt>
                <c:pt idx="10">
                  <c:v>8.0994418562336588</c:v>
                </c:pt>
                <c:pt idx="11">
                  <c:v>8.3463701549423597</c:v>
                </c:pt>
                <c:pt idx="12">
                  <c:v>8.0090212197129222</c:v>
                </c:pt>
                <c:pt idx="13">
                  <c:v>7.4019856239728652</c:v>
                </c:pt>
                <c:pt idx="14">
                  <c:v>6.9550483671754053</c:v>
                </c:pt>
                <c:pt idx="15">
                  <c:v>7.3721048567970664</c:v>
                </c:pt>
                <c:pt idx="16">
                  <c:v>7.5509589188733726</c:v>
                </c:pt>
                <c:pt idx="17">
                  <c:v>7.1384210352244262</c:v>
                </c:pt>
                <c:pt idx="18">
                  <c:v>6.8168088338718933</c:v>
                </c:pt>
                <c:pt idx="19">
                  <c:v>6.7282221278918364</c:v>
                </c:pt>
                <c:pt idx="20">
                  <c:v>5.5241283068803799</c:v>
                </c:pt>
                <c:pt idx="21">
                  <c:v>6.5513730339428102</c:v>
                </c:pt>
                <c:pt idx="22">
                  <c:v>8.8193190946572386</c:v>
                </c:pt>
                <c:pt idx="23">
                  <c:v>0</c:v>
                </c:pt>
                <c:pt idx="24">
                  <c:v>0</c:v>
                </c:pt>
                <c:pt idx="25">
                  <c:v>0</c:v>
                </c:pt>
                <c:pt idx="26">
                  <c:v>0</c:v>
                </c:pt>
                <c:pt idx="27">
                  <c:v>0</c:v>
                </c:pt>
                <c:pt idx="28">
                  <c:v>0</c:v>
                </c:pt>
                <c:pt idx="29">
                  <c:v>0</c:v>
                </c:pt>
                <c:pt idx="30">
                  <c:v>0</c:v>
                </c:pt>
                <c:pt idx="31">
                  <c:v>0</c:v>
                </c:pt>
                <c:pt idx="32">
                  <c:v>0</c:v>
                </c:pt>
                <c:pt idx="33">
                  <c:v>0</c:v>
                </c:pt>
                <c:pt idx="34">
                  <c:v>0</c:v>
                </c:pt>
              </c:numCache>
            </c:numRef>
          </c:val>
          <c:smooth val="0"/>
          <c:extLst>
            <c:ext xmlns:c16="http://schemas.microsoft.com/office/drawing/2014/chart" uri="{C3380CC4-5D6E-409C-BE32-E72D297353CC}">
              <c16:uniqueId val="{00000049-FC38-1C43-8357-D7CF17026529}"/>
            </c:ext>
          </c:extLst>
        </c:ser>
        <c:dLbls>
          <c:showLegendKey val="0"/>
          <c:showVal val="0"/>
          <c:showCatName val="0"/>
          <c:showSerName val="0"/>
          <c:showPercent val="0"/>
          <c:showBubbleSize val="0"/>
        </c:dLbls>
        <c:smooth val="0"/>
        <c:axId val="1140531520"/>
        <c:axId val="1140533200"/>
      </c:lineChart>
      <c:catAx>
        <c:axId val="1140531520"/>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200" b="0" i="0" u="none" strike="noStrike" kern="1200" baseline="0">
                <a:solidFill>
                  <a:srgbClr val="003E6B"/>
                </a:solidFill>
                <a:latin typeface="Helvetica" pitchFamily="2" charset="0"/>
                <a:ea typeface="+mn-ea"/>
                <a:cs typeface="+mn-cs"/>
              </a:defRPr>
            </a:pPr>
            <a:endParaRPr lang="en-CO"/>
          </a:p>
        </c:txPr>
        <c:crossAx val="1140533200"/>
        <c:crosses val="autoZero"/>
        <c:auto val="1"/>
        <c:lblAlgn val="ctr"/>
        <c:lblOffset val="100"/>
        <c:noMultiLvlLbl val="0"/>
      </c:catAx>
      <c:valAx>
        <c:axId val="1140533200"/>
        <c:scaling>
          <c:orientation val="minMax"/>
          <c:min val="2"/>
        </c:scaling>
        <c:delete val="1"/>
        <c:axPos val="l"/>
        <c:numFmt formatCode="#,##0.0" sourceLinked="1"/>
        <c:majorTickMark val="out"/>
        <c:minorTickMark val="none"/>
        <c:tickLblPos val="nextTo"/>
        <c:crossAx val="1140531520"/>
        <c:crosses val="autoZero"/>
        <c:crossBetween val="between"/>
      </c:valAx>
    </c:plotArea>
    <c:legend>
      <c:legendPos val="b"/>
      <c:layout>
        <c:manualLayout>
          <c:xMode val="edge"/>
          <c:yMode val="edge"/>
          <c:x val="0.15369220747182155"/>
          <c:y val="0.9193689814814815"/>
          <c:w val="0.69181483874390626"/>
          <c:h val="5.254930555555555E-2"/>
        </c:manualLayout>
      </c:layout>
      <c:overlay val="0"/>
      <c:spPr>
        <a:noFill/>
        <a:ln>
          <a:noFill/>
        </a:ln>
        <a:effectLst/>
      </c:spPr>
      <c:txPr>
        <a:bodyPr rot="0" spcFirstLastPara="1" vertOverflow="ellipsis" vert="horz" wrap="square" anchor="ctr" anchorCtr="1"/>
        <a:lstStyle/>
        <a:p>
          <a:pPr>
            <a:defRPr sz="1200" b="0" i="0" u="none" strike="noStrike" kern="1200" baseline="0">
              <a:solidFill>
                <a:srgbClr val="003E6B"/>
              </a:solidFill>
              <a:latin typeface="Helvetica" pitchFamily="2" charset="0"/>
              <a:ea typeface="+mn-ea"/>
              <a:cs typeface="+mn-cs"/>
            </a:defRPr>
          </a:pPr>
          <a:endParaRPr lang="en-CO"/>
        </a:p>
      </c:txPr>
    </c:legend>
    <c:plotVisOnly val="1"/>
    <c:dispBlanksAs val="gap"/>
    <c:showDLblsOverMax val="0"/>
    <c:extLst/>
  </c:chart>
  <c:spPr>
    <a:solidFill>
      <a:schemeClr val="bg1"/>
    </a:solidFill>
    <a:ln w="9525" cap="flat" cmpd="sng" algn="ctr">
      <a:noFill/>
      <a:prstDash val="sysDash"/>
      <a:round/>
    </a:ln>
    <a:effectLst/>
  </c:spPr>
  <c:txPr>
    <a:bodyPr/>
    <a:lstStyle/>
    <a:p>
      <a:pPr>
        <a:defRPr sz="1200">
          <a:solidFill>
            <a:srgbClr val="003E6B"/>
          </a:solidFill>
          <a:latin typeface="Helvetica" pitchFamily="2" charset="0"/>
        </a:defRPr>
      </a:pPr>
      <a:endParaRPr lang="en-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rgbClr val="003E6B"/>
                </a:solidFill>
                <a:latin typeface="Helvetica" pitchFamily="2" charset="0"/>
                <a:ea typeface="+mn-ea"/>
                <a:cs typeface="+mn-cs"/>
              </a:defRPr>
            </a:pPr>
            <a:r>
              <a:rPr lang="en-US" sz="1600" b="1"/>
              <a:t>Necesidades de financiamiento</a:t>
            </a:r>
          </a:p>
          <a:p>
            <a:pPr>
              <a:defRPr/>
            </a:pPr>
            <a:r>
              <a:rPr lang="en-US" sz="1400"/>
              <a:t>(%</a:t>
            </a:r>
            <a:r>
              <a:rPr lang="en-US" sz="1400" baseline="0"/>
              <a:t> del PIB)</a:t>
            </a:r>
            <a:endParaRPr lang="en-US" sz="1400"/>
          </a:p>
        </c:rich>
      </c:tx>
      <c:overlay val="0"/>
      <c:spPr>
        <a:noFill/>
        <a:ln>
          <a:noFill/>
        </a:ln>
        <a:effectLst/>
      </c:spPr>
      <c:txPr>
        <a:bodyPr rot="0" spcFirstLastPara="1" vertOverflow="ellipsis" vert="horz" wrap="square" anchor="ctr" anchorCtr="1"/>
        <a:lstStyle/>
        <a:p>
          <a:pPr>
            <a:defRPr sz="1320" b="0" i="0" u="none" strike="noStrike" kern="1200" spc="0" baseline="0">
              <a:solidFill>
                <a:srgbClr val="003E6B"/>
              </a:solidFill>
              <a:latin typeface="Helvetica" pitchFamily="2" charset="0"/>
              <a:ea typeface="+mn-ea"/>
              <a:cs typeface="+mn-cs"/>
            </a:defRPr>
          </a:pPr>
          <a:endParaRPr lang="en-CO"/>
        </a:p>
      </c:txPr>
    </c:title>
    <c:autoTitleDeleted val="0"/>
    <c:plotArea>
      <c:layout>
        <c:manualLayout>
          <c:layoutTarget val="inner"/>
          <c:xMode val="edge"/>
          <c:yMode val="edge"/>
          <c:x val="2.1143863330426369E-2"/>
          <c:y val="9.4988526573297608E-2"/>
          <c:w val="0.95771227333914721"/>
          <c:h val="0.68173017611502096"/>
        </c:manualLayout>
      </c:layout>
      <c:barChart>
        <c:barDir val="col"/>
        <c:grouping val="stacked"/>
        <c:varyColors val="0"/>
        <c:ser>
          <c:idx val="1"/>
          <c:order val="0"/>
          <c:tx>
            <c:v>Balance primario</c:v>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Gráficos!$B$17:$AK$17</c:f>
              <c:numCache>
                <c:formatCode>0.0</c:formatCode>
                <c:ptCount val="36"/>
                <c:pt idx="0">
                  <c:v>4.2794896475390347</c:v>
                </c:pt>
                <c:pt idx="1">
                  <c:v>1.4893641356065417</c:v>
                </c:pt>
                <c:pt idx="2">
                  <c:v>1.4091481238925774</c:v>
                </c:pt>
                <c:pt idx="3">
                  <c:v>1.7310970318957071</c:v>
                </c:pt>
                <c:pt idx="4">
                  <c:v>0.48877448213906938</c:v>
                </c:pt>
                <c:pt idx="5">
                  <c:v>0.93683306688121304</c:v>
                </c:pt>
                <c:pt idx="6">
                  <c:v>0.88562840036689061</c:v>
                </c:pt>
                <c:pt idx="7">
                  <c:v>-0.23472553640037341</c:v>
                </c:pt>
                <c:pt idx="8">
                  <c:v>-1.002239972811533</c:v>
                </c:pt>
                <c:pt idx="9">
                  <c:v>-0.90185179294328655</c:v>
                </c:pt>
                <c:pt idx="10">
                  <c:v>1.1096844851208436</c:v>
                </c:pt>
                <c:pt idx="11">
                  <c:v>1.1344431298088546</c:v>
                </c:pt>
                <c:pt idx="12">
                  <c:v>0.11444338688612456</c:v>
                </c:pt>
                <c:pt idx="13">
                  <c:v>-0.24172927284944754</c:v>
                </c:pt>
                <c:pt idx="14">
                  <c:v>3.9480641665590607E-2</c:v>
                </c:pt>
                <c:pt idx="15">
                  <c:v>0.18048234968856788</c:v>
                </c:pt>
                <c:pt idx="16">
                  <c:v>0.45020642068323613</c:v>
                </c:pt>
                <c:pt idx="17">
                  <c:v>1.1048773145732005</c:v>
                </c:pt>
                <c:pt idx="18">
                  <c:v>0.76249404558689915</c:v>
                </c:pt>
                <c:pt idx="19">
                  <c:v>0.34164852666381285</c:v>
                </c:pt>
                <c:pt idx="20">
                  <c:v>-0.44826667284460664</c:v>
                </c:pt>
                <c:pt idx="21">
                  <c:v>4.9538958629533534</c:v>
                </c:pt>
                <c:pt idx="22">
                  <c:v>3.6451099520905776</c:v>
                </c:pt>
                <c:pt idx="23">
                  <c:v>0.98560702258717359</c:v>
                </c:pt>
                <c:pt idx="24">
                  <c:v>0</c:v>
                </c:pt>
                <c:pt idx="25">
                  <c:v>0</c:v>
                </c:pt>
                <c:pt idx="26">
                  <c:v>0</c:v>
                </c:pt>
                <c:pt idx="27">
                  <c:v>0</c:v>
                </c:pt>
                <c:pt idx="28">
                  <c:v>0</c:v>
                </c:pt>
                <c:pt idx="29">
                  <c:v>0</c:v>
                </c:pt>
                <c:pt idx="30">
                  <c:v>0</c:v>
                </c:pt>
                <c:pt idx="31">
                  <c:v>0</c:v>
                </c:pt>
                <c:pt idx="32">
                  <c:v>0</c:v>
                </c:pt>
                <c:pt idx="33">
                  <c:v>0</c:v>
                </c:pt>
                <c:pt idx="34">
                  <c:v>0</c:v>
                </c:pt>
                <c:pt idx="35">
                  <c:v>0</c:v>
                </c:pt>
              </c:numCache>
            </c:numRef>
          </c:val>
          <c:extLst>
            <c:ext xmlns:c16="http://schemas.microsoft.com/office/drawing/2014/chart" uri="{C3380CC4-5D6E-409C-BE32-E72D297353CC}">
              <c16:uniqueId val="{00000001-4FDE-9945-A325-DB2A30E9A669}"/>
            </c:ext>
          </c:extLst>
        </c:ser>
        <c:ser>
          <c:idx val="2"/>
          <c:order val="1"/>
          <c:tx>
            <c:v>Intereses sin indexaciones</c:v>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Gráficos!$B$18:$AK$18</c:f>
              <c:numCache>
                <c:formatCode>0.0</c:formatCode>
                <c:ptCount val="36"/>
                <c:pt idx="0">
                  <c:v>3.3157415783311905</c:v>
                </c:pt>
                <c:pt idx="1">
                  <c:v>3.3025266158536057</c:v>
                </c:pt>
                <c:pt idx="2">
                  <c:v>3.4222943727967774</c:v>
                </c:pt>
                <c:pt idx="3">
                  <c:v>3.3272481297195347</c:v>
                </c:pt>
                <c:pt idx="4">
                  <c:v>3.6008657196822549</c:v>
                </c:pt>
                <c:pt idx="5">
                  <c:v>3.3928753960208424</c:v>
                </c:pt>
                <c:pt idx="6">
                  <c:v>2.9237042925852683</c:v>
                </c:pt>
                <c:pt idx="7">
                  <c:v>3.4924436952728066</c:v>
                </c:pt>
                <c:pt idx="8">
                  <c:v>3.5043683975202167</c:v>
                </c:pt>
                <c:pt idx="9">
                  <c:v>2.9216340544095365</c:v>
                </c:pt>
                <c:pt idx="10">
                  <c:v>2.9073691944765447</c:v>
                </c:pt>
                <c:pt idx="11">
                  <c:v>2.6123547227267996</c:v>
                </c:pt>
                <c:pt idx="12">
                  <c:v>2.5260733510989555</c:v>
                </c:pt>
                <c:pt idx="13">
                  <c:v>2.4120068088640716</c:v>
                </c:pt>
                <c:pt idx="14">
                  <c:v>2.2131894670358028</c:v>
                </c:pt>
                <c:pt idx="15">
                  <c:v>2.0440035758422801</c:v>
                </c:pt>
                <c:pt idx="16">
                  <c:v>2.1898033283707581</c:v>
                </c:pt>
                <c:pt idx="17">
                  <c:v>2.4922665705412563</c:v>
                </c:pt>
                <c:pt idx="18">
                  <c:v>2.5704256402729957</c:v>
                </c:pt>
                <c:pt idx="19">
                  <c:v>2.5053396254755089</c:v>
                </c:pt>
                <c:pt idx="20">
                  <c:v>2.5370901384015734</c:v>
                </c:pt>
                <c:pt idx="21">
                  <c:v>2.6658147025394552</c:v>
                </c:pt>
                <c:pt idx="22">
                  <c:v>2.8530039577144959</c:v>
                </c:pt>
                <c:pt idx="23">
                  <c:v>3.1738949728118788</c:v>
                </c:pt>
                <c:pt idx="24">
                  <c:v>0</c:v>
                </c:pt>
                <c:pt idx="25">
                  <c:v>0</c:v>
                </c:pt>
                <c:pt idx="26">
                  <c:v>0</c:v>
                </c:pt>
                <c:pt idx="27">
                  <c:v>0</c:v>
                </c:pt>
                <c:pt idx="28">
                  <c:v>0</c:v>
                </c:pt>
                <c:pt idx="29">
                  <c:v>0</c:v>
                </c:pt>
                <c:pt idx="30">
                  <c:v>0</c:v>
                </c:pt>
                <c:pt idx="31">
                  <c:v>0</c:v>
                </c:pt>
                <c:pt idx="32">
                  <c:v>0</c:v>
                </c:pt>
                <c:pt idx="33">
                  <c:v>0</c:v>
                </c:pt>
                <c:pt idx="34">
                  <c:v>0</c:v>
                </c:pt>
                <c:pt idx="35">
                  <c:v>0</c:v>
                </c:pt>
              </c:numCache>
            </c:numRef>
          </c:val>
          <c:extLst>
            <c:ext xmlns:c16="http://schemas.microsoft.com/office/drawing/2014/chart" uri="{C3380CC4-5D6E-409C-BE32-E72D297353CC}">
              <c16:uniqueId val="{00000002-4FDE-9945-A325-DB2A30E9A669}"/>
            </c:ext>
          </c:extLst>
        </c:ser>
        <c:ser>
          <c:idx val="0"/>
          <c:order val="2"/>
          <c:tx>
            <c:v>Amortizaciones</c:v>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Gráficos!$B$16:$AK$16</c:f>
              <c:numCache>
                <c:formatCode>0.0</c:formatCode>
                <c:ptCount val="36"/>
                <c:pt idx="0">
                  <c:v>5.3755506866366094</c:v>
                </c:pt>
                <c:pt idx="1">
                  <c:v>3.6981308885456139</c:v>
                </c:pt>
                <c:pt idx="2">
                  <c:v>5.3721690673325631</c:v>
                </c:pt>
                <c:pt idx="3">
                  <c:v>5.0172682853108057</c:v>
                </c:pt>
                <c:pt idx="4">
                  <c:v>5.3233484137203693</c:v>
                </c:pt>
                <c:pt idx="5">
                  <c:v>4.243991845479532</c:v>
                </c:pt>
                <c:pt idx="6">
                  <c:v>5.1959829260954375</c:v>
                </c:pt>
                <c:pt idx="7">
                  <c:v>5.2959897798902711</c:v>
                </c:pt>
                <c:pt idx="8">
                  <c:v>4.7825121720116783</c:v>
                </c:pt>
                <c:pt idx="9">
                  <c:v>4.0268881023241745</c:v>
                </c:pt>
                <c:pt idx="10">
                  <c:v>3.0492433176028921</c:v>
                </c:pt>
                <c:pt idx="11">
                  <c:v>3.0038593532542541</c:v>
                </c:pt>
                <c:pt idx="12">
                  <c:v>2.5506325138595338</c:v>
                </c:pt>
                <c:pt idx="13">
                  <c:v>2.623647110066722</c:v>
                </c:pt>
                <c:pt idx="14">
                  <c:v>2.8314694414084016</c:v>
                </c:pt>
                <c:pt idx="15">
                  <c:v>2.8655910351747691</c:v>
                </c:pt>
                <c:pt idx="16">
                  <c:v>3.1886651597697551</c:v>
                </c:pt>
                <c:pt idx="17">
                  <c:v>1.8050892397991736</c:v>
                </c:pt>
                <c:pt idx="18">
                  <c:v>2.4077331308892833</c:v>
                </c:pt>
                <c:pt idx="19">
                  <c:v>0.97812003954227555</c:v>
                </c:pt>
                <c:pt idx="20">
                  <c:v>3.08398991394336</c:v>
                </c:pt>
                <c:pt idx="21">
                  <c:v>1.4917644445356302</c:v>
                </c:pt>
                <c:pt idx="22">
                  <c:v>2.3923358357290567</c:v>
                </c:pt>
                <c:pt idx="23">
                  <c:v>1.5349962708516891</c:v>
                </c:pt>
                <c:pt idx="24">
                  <c:v>0</c:v>
                </c:pt>
                <c:pt idx="25">
                  <c:v>0</c:v>
                </c:pt>
                <c:pt idx="26">
                  <c:v>0</c:v>
                </c:pt>
                <c:pt idx="27">
                  <c:v>0</c:v>
                </c:pt>
                <c:pt idx="28">
                  <c:v>0</c:v>
                </c:pt>
                <c:pt idx="29">
                  <c:v>0</c:v>
                </c:pt>
                <c:pt idx="30">
                  <c:v>0</c:v>
                </c:pt>
                <c:pt idx="31">
                  <c:v>0</c:v>
                </c:pt>
                <c:pt idx="32">
                  <c:v>0</c:v>
                </c:pt>
                <c:pt idx="33">
                  <c:v>0</c:v>
                </c:pt>
                <c:pt idx="34">
                  <c:v>0</c:v>
                </c:pt>
                <c:pt idx="35">
                  <c:v>0</c:v>
                </c:pt>
              </c:numCache>
            </c:numRef>
          </c:val>
          <c:extLst>
            <c:ext xmlns:c16="http://schemas.microsoft.com/office/drawing/2014/chart" uri="{C3380CC4-5D6E-409C-BE32-E72D297353CC}">
              <c16:uniqueId val="{00000000-4FDE-9945-A325-DB2A30E9A669}"/>
            </c:ext>
          </c:extLst>
        </c:ser>
        <c:dLbls>
          <c:showLegendKey val="0"/>
          <c:showVal val="0"/>
          <c:showCatName val="0"/>
          <c:showSerName val="0"/>
          <c:showPercent val="0"/>
          <c:showBubbleSize val="0"/>
        </c:dLbls>
        <c:gapWidth val="40"/>
        <c:overlap val="100"/>
        <c:axId val="1226108512"/>
        <c:axId val="1214069088"/>
      </c:barChart>
      <c:lineChart>
        <c:grouping val="standard"/>
        <c:varyColors val="0"/>
        <c:ser>
          <c:idx val="3"/>
          <c:order val="3"/>
          <c:tx>
            <c:v>Necesidades de financiamiento</c:v>
          </c:tx>
          <c:spPr>
            <a:ln w="22225" cap="rnd">
              <a:solidFill>
                <a:schemeClr val="tx1"/>
              </a:solidFill>
              <a:prstDash val="sysDash"/>
              <a:round/>
            </a:ln>
            <a:effectLst/>
          </c:spPr>
          <c:marker>
            <c:symbol val="none"/>
          </c:marker>
          <c:dLbls>
            <c:dLbl>
              <c:idx val="2"/>
              <c:layout>
                <c:manualLayout>
                  <c:x val="-3.2572935685062913E-2"/>
                  <c:y val="-6.600705673219392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64D-C540-886D-291C98DDE17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rgbClr val="003E6B"/>
                    </a:solidFill>
                    <a:latin typeface="Helvetica" pitchFamily="2" charset="0"/>
                    <a:ea typeface="+mn-ea"/>
                    <a:cs typeface="+mn-cs"/>
                  </a:defRPr>
                </a:pPr>
                <a:endParaRPr lang="en-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Gráficos!$B$5:$AK$5</c:f>
              <c:numCache>
                <c:formatCode>General</c:formatCode>
                <c:ptCount val="36"/>
                <c:pt idx="0">
                  <c:v>1999</c:v>
                </c:pt>
                <c:pt idx="1">
                  <c:v>2000</c:v>
                </c:pt>
                <c:pt idx="2">
                  <c:v>2001</c:v>
                </c:pt>
                <c:pt idx="3">
                  <c:v>2002</c:v>
                </c:pt>
                <c:pt idx="4">
                  <c:v>2003</c:v>
                </c:pt>
                <c:pt idx="5">
                  <c:v>2004</c:v>
                </c:pt>
                <c:pt idx="6">
                  <c:v>2005</c:v>
                </c:pt>
                <c:pt idx="7">
                  <c:v>2006</c:v>
                </c:pt>
                <c:pt idx="8">
                  <c:v>2007</c:v>
                </c:pt>
                <c:pt idx="9">
                  <c:v>2008</c:v>
                </c:pt>
                <c:pt idx="10">
                  <c:v>2009</c:v>
                </c:pt>
                <c:pt idx="11">
                  <c:v>2010</c:v>
                </c:pt>
                <c:pt idx="12">
                  <c:v>2011</c:v>
                </c:pt>
                <c:pt idx="13">
                  <c:v>2012</c:v>
                </c:pt>
                <c:pt idx="14">
                  <c:v>2013</c:v>
                </c:pt>
                <c:pt idx="15">
                  <c:v>2014</c:v>
                </c:pt>
                <c:pt idx="16">
                  <c:v>2015</c:v>
                </c:pt>
                <c:pt idx="17">
                  <c:v>2016</c:v>
                </c:pt>
                <c:pt idx="18">
                  <c:v>2017</c:v>
                </c:pt>
                <c:pt idx="19">
                  <c:v>2018</c:v>
                </c:pt>
                <c:pt idx="20">
                  <c:v>2019</c:v>
                </c:pt>
                <c:pt idx="21">
                  <c:v>2020</c:v>
                </c:pt>
                <c:pt idx="22">
                  <c:v>2021</c:v>
                </c:pt>
                <c:pt idx="23">
                  <c:v>2022</c:v>
                </c:pt>
                <c:pt idx="24">
                  <c:v>2023</c:v>
                </c:pt>
                <c:pt idx="25">
                  <c:v>2024</c:v>
                </c:pt>
                <c:pt idx="26">
                  <c:v>2025</c:v>
                </c:pt>
                <c:pt idx="27">
                  <c:v>2026</c:v>
                </c:pt>
                <c:pt idx="28">
                  <c:v>2027</c:v>
                </c:pt>
                <c:pt idx="29">
                  <c:v>2028</c:v>
                </c:pt>
                <c:pt idx="30">
                  <c:v>2029</c:v>
                </c:pt>
                <c:pt idx="31">
                  <c:v>2030</c:v>
                </c:pt>
                <c:pt idx="32">
                  <c:v>2031</c:v>
                </c:pt>
                <c:pt idx="33">
                  <c:v>2032</c:v>
                </c:pt>
                <c:pt idx="34">
                  <c:v>2033</c:v>
                </c:pt>
                <c:pt idx="35">
                  <c:v>2034</c:v>
                </c:pt>
              </c:numCache>
            </c:numRef>
          </c:cat>
          <c:val>
            <c:numRef>
              <c:f>Gráficos!$B$19:$AK$19</c:f>
              <c:numCache>
                <c:formatCode>0.0</c:formatCode>
                <c:ptCount val="36"/>
                <c:pt idx="0">
                  <c:v>12.970781912506835</c:v>
                </c:pt>
                <c:pt idx="1">
                  <c:v>8.4900216400057609</c:v>
                </c:pt>
                <c:pt idx="2">
                  <c:v>10.203611564021918</c:v>
                </c:pt>
                <c:pt idx="3">
                  <c:v>10.075613446926049</c:v>
                </c:pt>
                <c:pt idx="4">
                  <c:v>9.4129886155416926</c:v>
                </c:pt>
                <c:pt idx="5">
                  <c:v>8.5737003083815875</c:v>
                </c:pt>
                <c:pt idx="6">
                  <c:v>9.0053156190475967</c:v>
                </c:pt>
                <c:pt idx="7">
                  <c:v>8.5537079387627042</c:v>
                </c:pt>
                <c:pt idx="8">
                  <c:v>7.2846405967203616</c:v>
                </c:pt>
                <c:pt idx="9">
                  <c:v>6.0466703637904242</c:v>
                </c:pt>
                <c:pt idx="10">
                  <c:v>7.0662969972002809</c:v>
                </c:pt>
                <c:pt idx="11">
                  <c:v>6.7506572057899081</c:v>
                </c:pt>
                <c:pt idx="12">
                  <c:v>5.1911492518446138</c:v>
                </c:pt>
                <c:pt idx="13">
                  <c:v>4.7939246460813463</c:v>
                </c:pt>
                <c:pt idx="14">
                  <c:v>5.0841395501097946</c:v>
                </c:pt>
                <c:pt idx="15">
                  <c:v>5.0900769607056171</c:v>
                </c:pt>
                <c:pt idx="16">
                  <c:v>5.8286749088237499</c:v>
                </c:pt>
                <c:pt idx="17">
                  <c:v>5.4022331249136304</c:v>
                </c:pt>
                <c:pt idx="18">
                  <c:v>5.7406528167491784</c:v>
                </c:pt>
                <c:pt idx="19">
                  <c:v>3.8251081916815974</c:v>
                </c:pt>
                <c:pt idx="20">
                  <c:v>5.1728133795003268</c:v>
                </c:pt>
                <c:pt idx="21">
                  <c:v>9.111475010028439</c:v>
                </c:pt>
                <c:pt idx="22">
                  <c:v>8.8904497455341307</c:v>
                </c:pt>
                <c:pt idx="23">
                  <c:v>5.6944982662507417</c:v>
                </c:pt>
                <c:pt idx="24">
                  <c:v>0</c:v>
                </c:pt>
                <c:pt idx="25">
                  <c:v>0</c:v>
                </c:pt>
                <c:pt idx="26">
                  <c:v>0</c:v>
                </c:pt>
                <c:pt idx="27">
                  <c:v>0</c:v>
                </c:pt>
                <c:pt idx="28">
                  <c:v>0</c:v>
                </c:pt>
                <c:pt idx="29">
                  <c:v>0</c:v>
                </c:pt>
                <c:pt idx="30">
                  <c:v>0</c:v>
                </c:pt>
                <c:pt idx="31">
                  <c:v>0</c:v>
                </c:pt>
                <c:pt idx="32">
                  <c:v>0</c:v>
                </c:pt>
                <c:pt idx="33">
                  <c:v>0</c:v>
                </c:pt>
                <c:pt idx="34">
                  <c:v>0</c:v>
                </c:pt>
                <c:pt idx="35">
                  <c:v>0</c:v>
                </c:pt>
              </c:numCache>
            </c:numRef>
          </c:val>
          <c:smooth val="0"/>
          <c:extLst>
            <c:ext xmlns:c16="http://schemas.microsoft.com/office/drawing/2014/chart" uri="{C3380CC4-5D6E-409C-BE32-E72D297353CC}">
              <c16:uniqueId val="{00000003-4FDE-9945-A325-DB2A30E9A669}"/>
            </c:ext>
          </c:extLst>
        </c:ser>
        <c:dLbls>
          <c:showLegendKey val="0"/>
          <c:showVal val="0"/>
          <c:showCatName val="0"/>
          <c:showSerName val="0"/>
          <c:showPercent val="0"/>
          <c:showBubbleSize val="0"/>
        </c:dLbls>
        <c:marker val="1"/>
        <c:smooth val="0"/>
        <c:axId val="1226108512"/>
        <c:axId val="1214069088"/>
      </c:lineChart>
      <c:catAx>
        <c:axId val="1226108512"/>
        <c:scaling>
          <c:orientation val="minMax"/>
        </c:scaling>
        <c:delete val="0"/>
        <c:axPos val="b"/>
        <c:majorTickMark val="none"/>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200" b="0" i="0" u="none" strike="noStrike" kern="1200" baseline="0">
                <a:solidFill>
                  <a:srgbClr val="003E6B"/>
                </a:solidFill>
                <a:latin typeface="Helvetica" pitchFamily="2" charset="0"/>
                <a:ea typeface="+mn-ea"/>
                <a:cs typeface="+mn-cs"/>
              </a:defRPr>
            </a:pPr>
            <a:endParaRPr lang="en-CO"/>
          </a:p>
        </c:txPr>
        <c:crossAx val="1214069088"/>
        <c:crosses val="autoZero"/>
        <c:auto val="1"/>
        <c:lblAlgn val="ctr"/>
        <c:lblOffset val="100"/>
        <c:noMultiLvlLbl val="0"/>
      </c:catAx>
      <c:valAx>
        <c:axId val="1214069088"/>
        <c:scaling>
          <c:orientation val="minMax"/>
          <c:min val="-1.5"/>
        </c:scaling>
        <c:delete val="0"/>
        <c:axPos val="l"/>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rgbClr val="003E6B"/>
                </a:solidFill>
                <a:latin typeface="Helvetica" pitchFamily="2" charset="0"/>
                <a:ea typeface="+mn-ea"/>
                <a:cs typeface="+mn-cs"/>
              </a:defRPr>
            </a:pPr>
            <a:endParaRPr lang="en-CO"/>
          </a:p>
        </c:txPr>
        <c:crossAx val="1226108512"/>
        <c:crosses val="autoZero"/>
        <c:crossBetween val="between"/>
      </c:valAx>
      <c:spPr>
        <a:noFill/>
        <a:ln>
          <a:noFill/>
        </a:ln>
        <a:effectLst/>
      </c:spPr>
    </c:plotArea>
    <c:legend>
      <c:legendPos val="b"/>
      <c:legendEntry>
        <c:idx val="3"/>
        <c:txPr>
          <a:bodyPr rot="0" spcFirstLastPara="1" vertOverflow="ellipsis" vert="horz" wrap="square" anchor="ctr" anchorCtr="1"/>
          <a:lstStyle/>
          <a:p>
            <a:pPr>
              <a:defRPr sz="1200" b="1" i="0" u="none" strike="noStrike" kern="1200" baseline="0">
                <a:solidFill>
                  <a:srgbClr val="003E6B"/>
                </a:solidFill>
                <a:latin typeface="Helvetica" pitchFamily="2" charset="0"/>
                <a:ea typeface="+mn-ea"/>
                <a:cs typeface="+mn-cs"/>
              </a:defRPr>
            </a:pPr>
            <a:endParaRPr lang="en-CO"/>
          </a:p>
        </c:txPr>
      </c:legendEntry>
      <c:layout>
        <c:manualLayout>
          <c:xMode val="edge"/>
          <c:yMode val="edge"/>
          <c:x val="3.1556724126918866E-2"/>
          <c:y val="0.89942199953137725"/>
          <c:w val="0.94457507796894202"/>
          <c:h val="8.1351756038407469E-2"/>
        </c:manualLayout>
      </c:layout>
      <c:overlay val="0"/>
      <c:spPr>
        <a:noFill/>
        <a:ln>
          <a:noFill/>
        </a:ln>
        <a:effectLst/>
      </c:spPr>
      <c:txPr>
        <a:bodyPr rot="0" spcFirstLastPara="1" vertOverflow="ellipsis" vert="horz" wrap="square" anchor="ctr" anchorCtr="1"/>
        <a:lstStyle/>
        <a:p>
          <a:pPr>
            <a:defRPr sz="1200" b="0" i="0" u="none" strike="noStrike" kern="1200" baseline="0">
              <a:solidFill>
                <a:srgbClr val="003E6B"/>
              </a:solidFill>
              <a:latin typeface="Helvetica" pitchFamily="2" charset="0"/>
              <a:ea typeface="+mn-ea"/>
              <a:cs typeface="+mn-cs"/>
            </a:defRPr>
          </a:pPr>
          <a:endParaRPr lang="en-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solidFill>
            <a:srgbClr val="003E6B"/>
          </a:solidFill>
          <a:latin typeface="Helvetica" pitchFamily="2" charset="0"/>
        </a:defRPr>
      </a:pPr>
      <a:endParaRPr lang="en-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rgbClr val="003E6B"/>
                </a:solidFill>
                <a:latin typeface="Helvetica" pitchFamily="2" charset="0"/>
                <a:ea typeface="+mn-ea"/>
                <a:cs typeface="+mn-cs"/>
              </a:defRPr>
            </a:pPr>
            <a:r>
              <a:rPr lang="en-US" sz="1600" b="1"/>
              <a:t>Deuda Bruta del GNC</a:t>
            </a:r>
            <a:endParaRPr lang="en-US" sz="1600" b="0"/>
          </a:p>
          <a:p>
            <a:pPr>
              <a:defRPr b="1"/>
            </a:pPr>
            <a:r>
              <a:rPr lang="en-US" sz="1200" b="0"/>
              <a:t>(% del PIB)</a:t>
            </a:r>
          </a:p>
        </c:rich>
      </c:tx>
      <c:overlay val="0"/>
      <c:spPr>
        <a:noFill/>
        <a:ln>
          <a:noFill/>
        </a:ln>
        <a:effectLst/>
      </c:spPr>
      <c:txPr>
        <a:bodyPr rot="0" spcFirstLastPara="1" vertOverflow="ellipsis" vert="horz" wrap="square" anchor="ctr" anchorCtr="1"/>
        <a:lstStyle/>
        <a:p>
          <a:pPr>
            <a:defRPr sz="1440" b="1" i="0" u="none" strike="noStrike" kern="1200" spc="0" baseline="0">
              <a:solidFill>
                <a:srgbClr val="003E6B"/>
              </a:solidFill>
              <a:latin typeface="Helvetica" pitchFamily="2" charset="0"/>
              <a:ea typeface="+mn-ea"/>
              <a:cs typeface="+mn-cs"/>
            </a:defRPr>
          </a:pPr>
          <a:endParaRPr lang="en-CO"/>
        </a:p>
      </c:txPr>
    </c:title>
    <c:autoTitleDeleted val="0"/>
    <c:plotArea>
      <c:layout>
        <c:manualLayout>
          <c:layoutTarget val="inner"/>
          <c:xMode val="edge"/>
          <c:yMode val="edge"/>
          <c:x val="1.9625334522747548E-2"/>
          <c:y val="8.4053601340033521E-2"/>
          <c:w val="0.96074933095450488"/>
          <c:h val="0.76627019612498182"/>
        </c:manualLayout>
      </c:layout>
      <c:lineChart>
        <c:grouping val="standard"/>
        <c:varyColors val="0"/>
        <c:ser>
          <c:idx val="2"/>
          <c:order val="0"/>
          <c:tx>
            <c:strRef>
              <c:f>Gráficos!$A$6</c:f>
              <c:strCache>
                <c:ptCount val="1"/>
                <c:pt idx="0">
                  <c:v>Deuda bruta proyectada</c:v>
                </c:pt>
              </c:strCache>
            </c:strRef>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accent2"/>
                    </a:solidFill>
                    <a:latin typeface="Helvetica" pitchFamily="2" charset="0"/>
                    <a:ea typeface="+mn-ea"/>
                    <a:cs typeface="+mn-cs"/>
                  </a:defRPr>
                </a:pPr>
                <a:endParaRPr lang="en-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Gráficos!$Y$5:$AK$5</c:f>
              <c:numCache>
                <c:formatCode>General</c:formatCode>
                <c:ptCount val="13"/>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numCache>
            </c:numRef>
          </c:cat>
          <c:val>
            <c:numRef>
              <c:f>Gráficos!$Y$6:$AK$6</c:f>
              <c:numCache>
                <c:formatCode>0.0</c:formatCode>
                <c:ptCount val="13"/>
                <c:pt idx="0">
                  <c:v>61.139820003501065</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3-9343-9047-AA10-B77840595D56}"/>
            </c:ext>
          </c:extLst>
        </c:ser>
        <c:ser>
          <c:idx val="1"/>
          <c:order val="1"/>
          <c:tx>
            <c:strRef>
              <c:f>Gráficos!$A$9</c:f>
              <c:strCache>
                <c:ptCount val="1"/>
                <c:pt idx="0">
                  <c:v>MFMP 2023</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accent1"/>
                    </a:solidFill>
                    <a:latin typeface="Helvetica" pitchFamily="2" charset="0"/>
                    <a:ea typeface="+mn-ea"/>
                    <a:cs typeface="+mn-cs"/>
                  </a:defRPr>
                </a:pPr>
                <a:endParaRPr lang="en-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Gráficos!$Y$5:$AK$5</c:f>
              <c:numCache>
                <c:formatCode>General</c:formatCode>
                <c:ptCount val="13"/>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numCache>
            </c:numRef>
          </c:cat>
          <c:val>
            <c:numRef>
              <c:f>Gráficos!$Y$9:$AK$9</c:f>
              <c:numCache>
                <c:formatCode>0.0</c:formatCode>
                <c:ptCount val="13"/>
                <c:pt idx="0">
                  <c:v>61.139820003501065</c:v>
                </c:pt>
                <c:pt idx="1">
                  <c:v>59.479019730672768</c:v>
                </c:pt>
                <c:pt idx="2">
                  <c:v>59.708827966133086</c:v>
                </c:pt>
                <c:pt idx="3">
                  <c:v>59.59451776301281</c:v>
                </c:pt>
                <c:pt idx="4">
                  <c:v>59.464497342978319</c:v>
                </c:pt>
                <c:pt idx="5">
                  <c:v>59.250470879014081</c:v>
                </c:pt>
                <c:pt idx="6">
                  <c:v>59.083137610730027</c:v>
                </c:pt>
                <c:pt idx="7">
                  <c:v>58.808022052248077</c:v>
                </c:pt>
                <c:pt idx="8">
                  <c:v>58.474924489912375</c:v>
                </c:pt>
                <c:pt idx="9">
                  <c:v>58.211151997949408</c:v>
                </c:pt>
                <c:pt idx="10">
                  <c:v>58.034810222776244</c:v>
                </c:pt>
                <c:pt idx="11">
                  <c:v>57.692730564874516</c:v>
                </c:pt>
                <c:pt idx="12">
                  <c:v>57.475245128208066</c:v>
                </c:pt>
              </c:numCache>
            </c:numRef>
          </c:val>
          <c:smooth val="0"/>
          <c:extLst>
            <c:ext xmlns:c16="http://schemas.microsoft.com/office/drawing/2014/chart" uri="{C3380CC4-5D6E-409C-BE32-E72D297353CC}">
              <c16:uniqueId val="{00000006-9343-9047-AA10-B77840595D56}"/>
            </c:ext>
          </c:extLst>
        </c:ser>
        <c:dLbls>
          <c:showLegendKey val="0"/>
          <c:showVal val="0"/>
          <c:showCatName val="0"/>
          <c:showSerName val="0"/>
          <c:showPercent val="0"/>
          <c:showBubbleSize val="0"/>
        </c:dLbls>
        <c:smooth val="0"/>
        <c:axId val="592469535"/>
        <c:axId val="593406943"/>
      </c:lineChart>
      <c:catAx>
        <c:axId val="592469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rgbClr val="003E6B"/>
                </a:solidFill>
                <a:latin typeface="Helvetica" pitchFamily="2" charset="0"/>
                <a:ea typeface="+mn-ea"/>
                <a:cs typeface="+mn-cs"/>
              </a:defRPr>
            </a:pPr>
            <a:endParaRPr lang="en-CO"/>
          </a:p>
        </c:txPr>
        <c:crossAx val="593406943"/>
        <c:crosses val="autoZero"/>
        <c:auto val="1"/>
        <c:lblAlgn val="ctr"/>
        <c:lblOffset val="100"/>
        <c:noMultiLvlLbl val="0"/>
      </c:catAx>
      <c:valAx>
        <c:axId val="593406943"/>
        <c:scaling>
          <c:orientation val="minMax"/>
          <c:min val="55"/>
        </c:scaling>
        <c:delete val="0"/>
        <c:axPos val="l"/>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rgbClr val="003E6B"/>
                </a:solidFill>
                <a:latin typeface="Helvetica" pitchFamily="2" charset="0"/>
                <a:ea typeface="+mn-ea"/>
                <a:cs typeface="+mn-cs"/>
              </a:defRPr>
            </a:pPr>
            <a:endParaRPr lang="en-CO"/>
          </a:p>
        </c:txPr>
        <c:crossAx val="5924695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rgbClr val="003E6B"/>
              </a:solidFill>
              <a:latin typeface="Helvetica" pitchFamily="2" charset="0"/>
              <a:ea typeface="+mn-ea"/>
              <a:cs typeface="+mn-cs"/>
            </a:defRPr>
          </a:pPr>
          <a:endParaRPr lang="en-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rgbClr val="003E6B"/>
          </a:solidFill>
          <a:latin typeface="Helvetica" pitchFamily="2" charset="0"/>
        </a:defRPr>
      </a:pPr>
      <a:endParaRPr lang="en-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rgbClr val="003E6B"/>
                </a:solidFill>
                <a:latin typeface="Helvetica" pitchFamily="2" charset="0"/>
                <a:ea typeface="+mn-ea"/>
                <a:cs typeface="+mn-cs"/>
              </a:defRPr>
            </a:pPr>
            <a:r>
              <a:rPr lang="en-US" sz="1600" b="1"/>
              <a:t>Variación de la deuda</a:t>
            </a:r>
          </a:p>
          <a:p>
            <a:pPr>
              <a:defRPr/>
            </a:pPr>
            <a:r>
              <a:rPr lang="en-US"/>
              <a:t>(% del PIB)</a:t>
            </a:r>
          </a:p>
        </c:rich>
      </c:tx>
      <c:overlay val="0"/>
      <c:spPr>
        <a:noFill/>
        <a:ln>
          <a:noFill/>
        </a:ln>
        <a:effectLst/>
      </c:spPr>
      <c:txPr>
        <a:bodyPr rot="0" spcFirstLastPara="1" vertOverflow="ellipsis" vert="horz" wrap="square" anchor="ctr" anchorCtr="1"/>
        <a:lstStyle/>
        <a:p>
          <a:pPr>
            <a:defRPr sz="1440" b="0" i="0" u="none" strike="noStrike" kern="1200" spc="0" baseline="0">
              <a:solidFill>
                <a:srgbClr val="003E6B"/>
              </a:solidFill>
              <a:latin typeface="Helvetica" pitchFamily="2" charset="0"/>
              <a:ea typeface="+mn-ea"/>
              <a:cs typeface="+mn-cs"/>
            </a:defRPr>
          </a:pPr>
          <a:endParaRPr lang="en-CO"/>
        </a:p>
      </c:txPr>
    </c:title>
    <c:autoTitleDeleted val="0"/>
    <c:plotArea>
      <c:layout>
        <c:manualLayout>
          <c:layoutTarget val="inner"/>
          <c:xMode val="edge"/>
          <c:yMode val="edge"/>
          <c:x val="2.6326510895129995E-2"/>
          <c:y val="0.1085303893637227"/>
          <c:w val="0.96231241447245008"/>
          <c:h val="0.62589242376279408"/>
        </c:manualLayout>
      </c:layout>
      <c:barChart>
        <c:barDir val="col"/>
        <c:grouping val="stacked"/>
        <c:varyColors val="0"/>
        <c:ser>
          <c:idx val="2"/>
          <c:order val="1"/>
          <c:tx>
            <c:strRef>
              <c:f>'Dinámica de la deuda'!$A$39</c:f>
              <c:strCache>
                <c:ptCount val="1"/>
                <c:pt idx="0">
                  <c:v>Intereses</c:v>
                </c:pt>
              </c:strCache>
            </c:strRef>
          </c:tx>
          <c:spPr>
            <a:solidFill>
              <a:srgbClr val="4074C8"/>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deuda'!$C$36:$AK$36</c:f>
              <c:numCache>
                <c:formatCode>0</c:formatCode>
                <c:ptCount val="3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pt idx="25">
                  <c:v>2025</c:v>
                </c:pt>
                <c:pt idx="26">
                  <c:v>2026</c:v>
                </c:pt>
                <c:pt idx="27">
                  <c:v>2027</c:v>
                </c:pt>
                <c:pt idx="28">
                  <c:v>2028</c:v>
                </c:pt>
                <c:pt idx="29">
                  <c:v>2029</c:v>
                </c:pt>
                <c:pt idx="30">
                  <c:v>2030</c:v>
                </c:pt>
                <c:pt idx="31">
                  <c:v>2031</c:v>
                </c:pt>
                <c:pt idx="32">
                  <c:v>2032</c:v>
                </c:pt>
                <c:pt idx="33">
                  <c:v>2033</c:v>
                </c:pt>
                <c:pt idx="34">
                  <c:v>2034</c:v>
                </c:pt>
              </c:numCache>
            </c:numRef>
          </c:cat>
          <c:val>
            <c:numRef>
              <c:f>'Dinámica de la deuda'!$C$39:$AK$39</c:f>
              <c:numCache>
                <c:formatCode>0.0%</c:formatCode>
                <c:ptCount val="35"/>
                <c:pt idx="0">
                  <c:v>4.0220552180924692E-2</c:v>
                </c:pt>
                <c:pt idx="1">
                  <c:v>3.4884419140284652E-2</c:v>
                </c:pt>
                <c:pt idx="2">
                  <c:v>3.4817770715858863E-2</c:v>
                </c:pt>
                <c:pt idx="3">
                  <c:v>3.8635853265282814E-2</c:v>
                </c:pt>
                <c:pt idx="4">
                  <c:v>3.6889463757557361E-2</c:v>
                </c:pt>
                <c:pt idx="5">
                  <c:v>3.1636675900720973E-2</c:v>
                </c:pt>
                <c:pt idx="6">
                  <c:v>3.7059814206696462E-2</c:v>
                </c:pt>
                <c:pt idx="7">
                  <c:v>3.6952038922549946E-2</c:v>
                </c:pt>
                <c:pt idx="8">
                  <c:v>3.2243999238009122E-2</c:v>
                </c:pt>
                <c:pt idx="9">
                  <c:v>3.0813880956873981E-2</c:v>
                </c:pt>
                <c:pt idx="10">
                  <c:v>2.7457079882268979E-2</c:v>
                </c:pt>
                <c:pt idx="11">
                  <c:v>2.7832724281659588E-2</c:v>
                </c:pt>
                <c:pt idx="12">
                  <c:v>2.5878477026723645E-2</c:v>
                </c:pt>
                <c:pt idx="13">
                  <c:v>2.2907803503369354E-2</c:v>
                </c:pt>
                <c:pt idx="14">
                  <c:v>2.1950527829797315E-2</c:v>
                </c:pt>
                <c:pt idx="15">
                  <c:v>2.4618535192651319E-2</c:v>
                </c:pt>
                <c:pt idx="16">
                  <c:v>2.9217211974206223E-2</c:v>
                </c:pt>
                <c:pt idx="17">
                  <c:v>2.9206613627926144E-2</c:v>
                </c:pt>
                <c:pt idx="18">
                  <c:v>2.8204603196653511E-2</c:v>
                </c:pt>
                <c:pt idx="19">
                  <c:v>2.9111823821445931E-2</c:v>
                </c:pt>
                <c:pt idx="20">
                  <c:v>2.8364401603088465E-2</c:v>
                </c:pt>
                <c:pt idx="21">
                  <c:v>3.3915537415822899E-2</c:v>
                </c:pt>
                <c:pt idx="22">
                  <c:v>4.3556614531498471E-2</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0-1AE9-6B46-B095-3ACDBBF2570D}"/>
            </c:ext>
          </c:extLst>
        </c:ser>
        <c:ser>
          <c:idx val="3"/>
          <c:order val="2"/>
          <c:tx>
            <c:strRef>
              <c:f>'Dinámica de la deuda'!$A$40</c:f>
              <c:strCache>
                <c:ptCount val="1"/>
                <c:pt idx="0">
                  <c:v>Inflación</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deuda'!$C$36:$AK$36</c:f>
              <c:numCache>
                <c:formatCode>0</c:formatCode>
                <c:ptCount val="3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pt idx="25">
                  <c:v>2025</c:v>
                </c:pt>
                <c:pt idx="26">
                  <c:v>2026</c:v>
                </c:pt>
                <c:pt idx="27">
                  <c:v>2027</c:v>
                </c:pt>
                <c:pt idx="28">
                  <c:v>2028</c:v>
                </c:pt>
                <c:pt idx="29">
                  <c:v>2029</c:v>
                </c:pt>
                <c:pt idx="30">
                  <c:v>2030</c:v>
                </c:pt>
                <c:pt idx="31">
                  <c:v>2031</c:v>
                </c:pt>
                <c:pt idx="32">
                  <c:v>2032</c:v>
                </c:pt>
                <c:pt idx="33">
                  <c:v>2033</c:v>
                </c:pt>
                <c:pt idx="34">
                  <c:v>2034</c:v>
                </c:pt>
              </c:numCache>
            </c:numRef>
          </c:cat>
          <c:val>
            <c:numRef>
              <c:f>'Dinámica de la deuda'!$C$40:$AK$40</c:f>
              <c:numCache>
                <c:formatCode>0.0%</c:formatCode>
                <c:ptCount val="35"/>
                <c:pt idx="0">
                  <c:v>-2.6502302399896552E-2</c:v>
                </c:pt>
                <c:pt idx="1">
                  <c:v>-2.5564534618878684E-2</c:v>
                </c:pt>
                <c:pt idx="2">
                  <c:v>-2.5411917257142411E-2</c:v>
                </c:pt>
                <c:pt idx="3">
                  <c:v>-2.8219725578163032E-2</c:v>
                </c:pt>
                <c:pt idx="4">
                  <c:v>-2.3541759838581731E-2</c:v>
                </c:pt>
                <c:pt idx="5">
                  <c:v>-1.9190887104469912E-2</c:v>
                </c:pt>
                <c:pt idx="6">
                  <c:v>-1.7333949000564699E-2</c:v>
                </c:pt>
                <c:pt idx="7">
                  <c:v>-2.0591439032456964E-2</c:v>
                </c:pt>
                <c:pt idx="8">
                  <c:v>-2.547841063663641E-2</c:v>
                </c:pt>
                <c:pt idx="9">
                  <c:v>-6.9200745544498021E-3</c:v>
                </c:pt>
                <c:pt idx="10">
                  <c:v>-1.1233627630799976E-2</c:v>
                </c:pt>
                <c:pt idx="11">
                  <c:v>-1.3290857795281842E-2</c:v>
                </c:pt>
                <c:pt idx="12">
                  <c:v>-8.1925189961014194E-3</c:v>
                </c:pt>
                <c:pt idx="13">
                  <c:v>-6.3121905872424843E-3</c:v>
                </c:pt>
                <c:pt idx="14">
                  <c:v>-1.2070858471682147E-2</c:v>
                </c:pt>
                <c:pt idx="15">
                  <c:v>-2.3276121679914663E-2</c:v>
                </c:pt>
                <c:pt idx="16">
                  <c:v>-2.2713108596278852E-2</c:v>
                </c:pt>
                <c:pt idx="17">
                  <c:v>-1.6961576564567007E-2</c:v>
                </c:pt>
                <c:pt idx="18">
                  <c:v>-1.3494671659577731E-2</c:v>
                </c:pt>
                <c:pt idx="19">
                  <c:v>-1.6965906433440783E-2</c:v>
                </c:pt>
                <c:pt idx="20">
                  <c:v>-7.6672371711133122E-3</c:v>
                </c:pt>
                <c:pt idx="21">
                  <c:v>-3.2298995895891511E-2</c:v>
                </c:pt>
                <c:pt idx="22">
                  <c:v>-6.965371645156497E-2</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1-1AE9-6B46-B095-3ACDBBF2570D}"/>
            </c:ext>
          </c:extLst>
        </c:ser>
        <c:ser>
          <c:idx val="4"/>
          <c:order val="3"/>
          <c:tx>
            <c:strRef>
              <c:f>'Dinámica de la deuda'!$A$41</c:f>
              <c:strCache>
                <c:ptCount val="1"/>
                <c:pt idx="0">
                  <c:v>Tasa de cambio</c:v>
                </c:pt>
              </c:strCache>
            </c:strRef>
          </c:tx>
          <c:spPr>
            <a:solidFill>
              <a:srgbClr val="7030A0"/>
            </a:solidFill>
            <a:ln>
              <a:noFill/>
            </a:ln>
            <a:effectLst/>
          </c:spPr>
          <c:invertIfNegative val="0"/>
          <c:dLbls>
            <c:dLbl>
              <c:idx val="2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E9-6B46-B095-3ACDBBF2570D}"/>
                </c:ext>
              </c:extLst>
            </c:dLbl>
            <c:dLbl>
              <c:idx val="2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E9-6B46-B095-3ACDBBF2570D}"/>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Helvetica" pitchFamily="2" charset="0"/>
                    <a:ea typeface="+mn-ea"/>
                    <a:cs typeface="+mn-cs"/>
                  </a:defRPr>
                </a:pPr>
                <a:endParaRPr lang="en-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deuda'!$C$36:$AK$36</c:f>
              <c:numCache>
                <c:formatCode>0</c:formatCode>
                <c:ptCount val="3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pt idx="25">
                  <c:v>2025</c:v>
                </c:pt>
                <c:pt idx="26">
                  <c:v>2026</c:v>
                </c:pt>
                <c:pt idx="27">
                  <c:v>2027</c:v>
                </c:pt>
                <c:pt idx="28">
                  <c:v>2028</c:v>
                </c:pt>
                <c:pt idx="29">
                  <c:v>2029</c:v>
                </c:pt>
                <c:pt idx="30">
                  <c:v>2030</c:v>
                </c:pt>
                <c:pt idx="31">
                  <c:v>2031</c:v>
                </c:pt>
                <c:pt idx="32">
                  <c:v>2032</c:v>
                </c:pt>
                <c:pt idx="33">
                  <c:v>2033</c:v>
                </c:pt>
                <c:pt idx="34">
                  <c:v>2034</c:v>
                </c:pt>
              </c:numCache>
            </c:numRef>
          </c:cat>
          <c:val>
            <c:numRef>
              <c:f>'Dinámica de la deuda'!$C$41:$AK$41</c:f>
              <c:numCache>
                <c:formatCode>0.0%</c:formatCode>
                <c:ptCount val="35"/>
                <c:pt idx="0">
                  <c:v>2.6770709024924854E-2</c:v>
                </c:pt>
                <c:pt idx="1">
                  <c:v>4.2004020145127363E-3</c:v>
                </c:pt>
                <c:pt idx="2">
                  <c:v>4.3227740905455503E-2</c:v>
                </c:pt>
                <c:pt idx="3">
                  <c:v>-6.2716387246099289E-3</c:v>
                </c:pt>
                <c:pt idx="4">
                  <c:v>-2.8159381626886321E-2</c:v>
                </c:pt>
                <c:pt idx="5">
                  <c:v>-7.3015437476819222E-3</c:v>
                </c:pt>
                <c:pt idx="6">
                  <c:v>-2.5522933237675559E-3</c:v>
                </c:pt>
                <c:pt idx="7">
                  <c:v>-1.2100886539127109E-2</c:v>
                </c:pt>
                <c:pt idx="8">
                  <c:v>1.2006890210183902E-2</c:v>
                </c:pt>
                <c:pt idx="9">
                  <c:v>-1.0326544711963957E-2</c:v>
                </c:pt>
                <c:pt idx="10">
                  <c:v>-6.8823134700648119E-3</c:v>
                </c:pt>
                <c:pt idx="11">
                  <c:v>1.498689548631588E-3</c:v>
                </c:pt>
                <c:pt idx="12">
                  <c:v>-8.7983682780663174E-3</c:v>
                </c:pt>
                <c:pt idx="13">
                  <c:v>7.7836599968149466E-3</c:v>
                </c:pt>
                <c:pt idx="14">
                  <c:v>2.1959174121185299E-2</c:v>
                </c:pt>
                <c:pt idx="15">
                  <c:v>3.4974923986724825E-2</c:v>
                </c:pt>
                <c:pt idx="16">
                  <c:v>-7.0670619557999127E-3</c:v>
                </c:pt>
                <c:pt idx="17">
                  <c:v>-8.060943181700652E-4</c:v>
                </c:pt>
                <c:pt idx="18">
                  <c:v>1.2941721086968106E-2</c:v>
                </c:pt>
                <c:pt idx="19">
                  <c:v>1.2962341504587571E-3</c:v>
                </c:pt>
                <c:pt idx="20">
                  <c:v>8.1245914944355589E-3</c:v>
                </c:pt>
                <c:pt idx="21">
                  <c:v>3.0699221164435395E-2</c:v>
                </c:pt>
                <c:pt idx="22">
                  <c:v>4.2533396268290016E-2</c:v>
                </c:pt>
                <c:pt idx="23">
                  <c:v>-0.24125693196134557</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4-1AE9-6B46-B095-3ACDBBF2570D}"/>
            </c:ext>
          </c:extLst>
        </c:ser>
        <c:ser>
          <c:idx val="5"/>
          <c:order val="4"/>
          <c:tx>
            <c:strRef>
              <c:f>'Dinámica de la deuda'!$A$42</c:f>
              <c:strCache>
                <c:ptCount val="1"/>
                <c:pt idx="0">
                  <c:v>Crecimiento real</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deuda'!$C$36:$AK$36</c:f>
              <c:numCache>
                <c:formatCode>0</c:formatCode>
                <c:ptCount val="3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pt idx="25">
                  <c:v>2025</c:v>
                </c:pt>
                <c:pt idx="26">
                  <c:v>2026</c:v>
                </c:pt>
                <c:pt idx="27">
                  <c:v>2027</c:v>
                </c:pt>
                <c:pt idx="28">
                  <c:v>2028</c:v>
                </c:pt>
                <c:pt idx="29">
                  <c:v>2029</c:v>
                </c:pt>
                <c:pt idx="30">
                  <c:v>2030</c:v>
                </c:pt>
                <c:pt idx="31">
                  <c:v>2031</c:v>
                </c:pt>
                <c:pt idx="32">
                  <c:v>2032</c:v>
                </c:pt>
                <c:pt idx="33">
                  <c:v>2033</c:v>
                </c:pt>
                <c:pt idx="34">
                  <c:v>2034</c:v>
                </c:pt>
              </c:numCache>
            </c:numRef>
          </c:cat>
          <c:val>
            <c:numRef>
              <c:f>'Dinámica de la deuda'!$C$42:$AK$42</c:f>
              <c:numCache>
                <c:formatCode>0.0%</c:formatCode>
                <c:ptCount val="35"/>
                <c:pt idx="0">
                  <c:v>-2.9201488225307471E-3</c:v>
                </c:pt>
                <c:pt idx="1">
                  <c:v>-9.6424304891937745E-3</c:v>
                </c:pt>
                <c:pt idx="2">
                  <c:v>-7.096934839184511E-3</c:v>
                </c:pt>
                <c:pt idx="3">
                  <c:v>-1.8962913657554162E-2</c:v>
                </c:pt>
                <c:pt idx="4">
                  <c:v>-1.7467830143829258E-2</c:v>
                </c:pt>
                <c:pt idx="5">
                  <c:v>-1.8079953172090223E-2</c:v>
                </c:pt>
                <c:pt idx="6">
                  <c:v>-2.4364203547700674E-2</c:v>
                </c:pt>
                <c:pt idx="7">
                  <c:v>-2.2827468920730603E-2</c:v>
                </c:pt>
                <c:pt idx="8">
                  <c:v>-1.0554282232640811E-2</c:v>
                </c:pt>
                <c:pt idx="9">
                  <c:v>-3.8952729138351143E-3</c:v>
                </c:pt>
                <c:pt idx="10">
                  <c:v>-1.5236878366789979E-2</c:v>
                </c:pt>
                <c:pt idx="11">
                  <c:v>-2.3169205088740111E-2</c:v>
                </c:pt>
                <c:pt idx="12">
                  <c:v>-1.2642375645752907E-2</c:v>
                </c:pt>
                <c:pt idx="13">
                  <c:v>-1.588877913540394E-2</c:v>
                </c:pt>
                <c:pt idx="14">
                  <c:v>-1.4199194316539144E-2</c:v>
                </c:pt>
                <c:pt idx="15">
                  <c:v>-9.870988468934503E-3</c:v>
                </c:pt>
                <c:pt idx="16">
                  <c:v>-8.0767883492090329E-3</c:v>
                </c:pt>
                <c:pt idx="17">
                  <c:v>-5.5617800425893761E-3</c:v>
                </c:pt>
                <c:pt idx="18">
                  <c:v>-1.06099130290836E-2</c:v>
                </c:pt>
                <c:pt idx="19">
                  <c:v>-1.3788958058472127E-2</c:v>
                </c:pt>
                <c:pt idx="20">
                  <c:v>3.7237933675547882E-2</c:v>
                </c:pt>
                <c:pt idx="21">
                  <c:v>-5.7029284241699361E-2</c:v>
                </c:pt>
                <c:pt idx="22">
                  <c:v>-3.7019934625452326E-2</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5-1AE9-6B46-B095-3ACDBBF2570D}"/>
            </c:ext>
          </c:extLst>
        </c:ser>
        <c:ser>
          <c:idx val="6"/>
          <c:order val="5"/>
          <c:tx>
            <c:strRef>
              <c:f>'Dinámica de la deuda'!$A$43</c:f>
              <c:strCache>
                <c:ptCount val="1"/>
                <c:pt idx="0">
                  <c:v>Balance primario</c:v>
                </c:pt>
              </c:strCache>
            </c:strRef>
          </c:tx>
          <c:spPr>
            <a:solidFill>
              <a:schemeClr val="accent2"/>
            </a:solidFill>
            <a:ln>
              <a:noFill/>
            </a:ln>
            <a:effectLst/>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AE9-6B46-B095-3ACDBBF2570D}"/>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AE9-6B46-B095-3ACDBBF2570D}"/>
                </c:ext>
              </c:extLst>
            </c:dLbl>
            <c:dLbl>
              <c:idx val="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AE9-6B46-B095-3ACDBBF2570D}"/>
                </c:ext>
              </c:extLst>
            </c:dLbl>
            <c:dLbl>
              <c:idx val="2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AE9-6B46-B095-3ACDBBF2570D}"/>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Helvetica" pitchFamily="2" charset="0"/>
                    <a:ea typeface="+mn-ea"/>
                    <a:cs typeface="+mn-cs"/>
                  </a:defRPr>
                </a:pPr>
                <a:endParaRPr lang="en-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deuda'!$C$36:$AK$36</c:f>
              <c:numCache>
                <c:formatCode>0</c:formatCode>
                <c:ptCount val="3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pt idx="25">
                  <c:v>2025</c:v>
                </c:pt>
                <c:pt idx="26">
                  <c:v>2026</c:v>
                </c:pt>
                <c:pt idx="27">
                  <c:v>2027</c:v>
                </c:pt>
                <c:pt idx="28">
                  <c:v>2028</c:v>
                </c:pt>
                <c:pt idx="29">
                  <c:v>2029</c:v>
                </c:pt>
                <c:pt idx="30">
                  <c:v>2030</c:v>
                </c:pt>
                <c:pt idx="31">
                  <c:v>2031</c:v>
                </c:pt>
                <c:pt idx="32">
                  <c:v>2032</c:v>
                </c:pt>
                <c:pt idx="33">
                  <c:v>2033</c:v>
                </c:pt>
                <c:pt idx="34">
                  <c:v>2034</c:v>
                </c:pt>
              </c:numCache>
            </c:numRef>
          </c:cat>
          <c:val>
            <c:numRef>
              <c:f>'Dinámica de la deuda'!$C$43:$AK$43</c:f>
              <c:numCache>
                <c:formatCode>0.0%</c:formatCode>
                <c:ptCount val="35"/>
                <c:pt idx="0">
                  <c:v>1.4893641356065418E-2</c:v>
                </c:pt>
                <c:pt idx="1">
                  <c:v>1.4091481238925774E-2</c:v>
                </c:pt>
                <c:pt idx="2">
                  <c:v>1.7310970318957071E-2</c:v>
                </c:pt>
                <c:pt idx="3">
                  <c:v>4.8877448213906945E-3</c:v>
                </c:pt>
                <c:pt idx="4">
                  <c:v>9.36833066881213E-3</c:v>
                </c:pt>
                <c:pt idx="5">
                  <c:v>8.8562840036689062E-3</c:v>
                </c:pt>
                <c:pt idx="6">
                  <c:v>-2.3472553640037342E-3</c:v>
                </c:pt>
                <c:pt idx="7">
                  <c:v>-1.002239972811533E-2</c:v>
                </c:pt>
                <c:pt idx="8">
                  <c:v>-9.0185179294328659E-3</c:v>
                </c:pt>
                <c:pt idx="9">
                  <c:v>1.1096844851208437E-2</c:v>
                </c:pt>
                <c:pt idx="10">
                  <c:v>1.1344431298088549E-2</c:v>
                </c:pt>
                <c:pt idx="11">
                  <c:v>1.1444338688612456E-3</c:v>
                </c:pt>
                <c:pt idx="12">
                  <c:v>-2.417292728494475E-3</c:v>
                </c:pt>
                <c:pt idx="13">
                  <c:v>3.9480641665590605E-4</c:v>
                </c:pt>
                <c:pt idx="14">
                  <c:v>1.8048234968856788E-3</c:v>
                </c:pt>
                <c:pt idx="15">
                  <c:v>4.5020642068323612E-3</c:v>
                </c:pt>
                <c:pt idx="16">
                  <c:v>1.1048773145732004E-2</c:v>
                </c:pt>
                <c:pt idx="17">
                  <c:v>7.6249404558689912E-3</c:v>
                </c:pt>
                <c:pt idx="18">
                  <c:v>3.4164852666381286E-3</c:v>
                </c:pt>
                <c:pt idx="19">
                  <c:v>-4.4826667284460662E-3</c:v>
                </c:pt>
                <c:pt idx="20">
                  <c:v>4.953895862953353E-2</c:v>
                </c:pt>
                <c:pt idx="21">
                  <c:v>3.6451099520905784E-2</c:v>
                </c:pt>
                <c:pt idx="22">
                  <c:v>9.856070225871736E-3</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6-1AE9-6B46-B095-3ACDBBF2570D}"/>
            </c:ext>
          </c:extLst>
        </c:ser>
        <c:ser>
          <c:idx val="1"/>
          <c:order val="6"/>
          <c:tx>
            <c:strRef>
              <c:f>'Dinámica de la deuda'!$A$44</c:f>
              <c:strCache>
                <c:ptCount val="1"/>
                <c:pt idx="0">
                  <c:v>Flujo de activos financieros</c:v>
                </c:pt>
              </c:strCache>
            </c:strRef>
          </c:tx>
          <c:spPr>
            <a:solidFill>
              <a:schemeClr val="bg1">
                <a:lumMod val="65000"/>
              </a:schemeClr>
            </a:solidFill>
            <a:ln>
              <a:noFill/>
            </a:ln>
            <a:effectLst/>
          </c:spPr>
          <c:invertIfNegative val="0"/>
          <c:dLbls>
            <c:dLbl>
              <c:idx val="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AE9-6B46-B095-3ACDBBF2570D}"/>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Helvetica" pitchFamily="2" charset="0"/>
                    <a:ea typeface="+mn-ea"/>
                    <a:cs typeface="+mn-cs"/>
                  </a:defRPr>
                </a:pPr>
                <a:endParaRPr lang="en-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'Dinámica de la deuda'!$C$44:$AK$44</c:f>
              <c:numCache>
                <c:formatCode>0.0%</c:formatCode>
                <c:ptCount val="35"/>
                <c:pt idx="0">
                  <c:v>-4.4891249591907309E-3</c:v>
                </c:pt>
                <c:pt idx="1">
                  <c:v>1.3024388374118713E-2</c:v>
                </c:pt>
                <c:pt idx="2">
                  <c:v>-1.5951945447949437E-2</c:v>
                </c:pt>
                <c:pt idx="3">
                  <c:v>1.9996590464633145E-3</c:v>
                </c:pt>
                <c:pt idx="4">
                  <c:v>6.774197741603389E-3</c:v>
                </c:pt>
                <c:pt idx="5">
                  <c:v>4.350258994120477E-3</c:v>
                </c:pt>
                <c:pt idx="6">
                  <c:v>-1.672670894097772E-3</c:v>
                </c:pt>
                <c:pt idx="7">
                  <c:v>-1.2680786539054776E-2</c:v>
                </c:pt>
                <c:pt idx="8">
                  <c:v>1.0044681270814593E-4</c:v>
                </c:pt>
                <c:pt idx="9">
                  <c:v>5.5978479949319766E-3</c:v>
                </c:pt>
                <c:pt idx="10">
                  <c:v>8.7567225005138246E-4</c:v>
                </c:pt>
                <c:pt idx="11">
                  <c:v>4.4520446137245109E-3</c:v>
                </c:pt>
                <c:pt idx="12">
                  <c:v>-8.5996465402489557E-3</c:v>
                </c:pt>
                <c:pt idx="13">
                  <c:v>1.4280717762755281E-2</c:v>
                </c:pt>
                <c:pt idx="14">
                  <c:v>7.3237276800721587E-3</c:v>
                </c:pt>
                <c:pt idx="15">
                  <c:v>-3.5017032603763764E-3</c:v>
                </c:pt>
                <c:pt idx="16">
                  <c:v>-3.8016582965559832E-3</c:v>
                </c:pt>
                <c:pt idx="17">
                  <c:v>1.3409531184287893E-3</c:v>
                </c:pt>
                <c:pt idx="18">
                  <c:v>3.9136177448690782E-3</c:v>
                </c:pt>
                <c:pt idx="19">
                  <c:v>-1.0305181076892054E-2</c:v>
                </c:pt>
                <c:pt idx="20">
                  <c:v>2.4258683504866888E-2</c:v>
                </c:pt>
                <c:pt idx="21">
                  <c:v>-1.4591913396865212E-2</c:v>
                </c:pt>
                <c:pt idx="22">
                  <c:v>2.7474481221727619E-3</c:v>
                </c:pt>
                <c:pt idx="23">
                  <c:v>-3.1963626726928054E-2</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8-1AE9-6B46-B095-3ACDBBF2570D}"/>
            </c:ext>
          </c:extLst>
        </c:ser>
        <c:ser>
          <c:idx val="7"/>
          <c:order val="7"/>
          <c:tx>
            <c:strRef>
              <c:f>'Dinámica de la deuda'!$A$45</c:f>
              <c:strCache>
                <c:ptCount val="1"/>
                <c:pt idx="0">
                  <c:v>Ajuste (flujo-saldo)</c:v>
                </c:pt>
              </c:strCache>
            </c:strRef>
          </c:tx>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bg1"/>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deuda'!$C$36:$AK$36</c:f>
              <c:numCache>
                <c:formatCode>0</c:formatCode>
                <c:ptCount val="3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pt idx="25">
                  <c:v>2025</c:v>
                </c:pt>
                <c:pt idx="26">
                  <c:v>2026</c:v>
                </c:pt>
                <c:pt idx="27">
                  <c:v>2027</c:v>
                </c:pt>
                <c:pt idx="28">
                  <c:v>2028</c:v>
                </c:pt>
                <c:pt idx="29">
                  <c:v>2029</c:v>
                </c:pt>
                <c:pt idx="30">
                  <c:v>2030</c:v>
                </c:pt>
                <c:pt idx="31">
                  <c:v>2031</c:v>
                </c:pt>
                <c:pt idx="32">
                  <c:v>2032</c:v>
                </c:pt>
                <c:pt idx="33">
                  <c:v>2033</c:v>
                </c:pt>
                <c:pt idx="34">
                  <c:v>2034</c:v>
                </c:pt>
              </c:numCache>
            </c:numRef>
          </c:cat>
          <c:val>
            <c:numRef>
              <c:f>'Dinámica de la deuda'!$C$45:$AK$45</c:f>
              <c:numCache>
                <c:formatCode>0.0%</c:formatCode>
                <c:ptCount val="35"/>
                <c:pt idx="0">
                  <c:v>-1.7605844503973449E-2</c:v>
                </c:pt>
                <c:pt idx="1">
                  <c:v>-1.9463206013536141E-3</c:v>
                </c:pt>
                <c:pt idx="2">
                  <c:v>2.7188432758820907E-2</c:v>
                </c:pt>
                <c:pt idx="3">
                  <c:v>-3.2073675861948297E-3</c:v>
                </c:pt>
                <c:pt idx="4">
                  <c:v>-2.1213407277366276E-2</c:v>
                </c:pt>
                <c:pt idx="5">
                  <c:v>-1.0299416040715183E-2</c:v>
                </c:pt>
                <c:pt idx="6">
                  <c:v>-1.1023036599694636E-2</c:v>
                </c:pt>
                <c:pt idx="7">
                  <c:v>1.6546674728013324E-2</c:v>
                </c:pt>
                <c:pt idx="8">
                  <c:v>-4.1606928823836658E-3</c:v>
                </c:pt>
                <c:pt idx="9">
                  <c:v>-1.3507818867434082E-2</c:v>
                </c:pt>
                <c:pt idx="10">
                  <c:v>-1.8634581031947853E-3</c:v>
                </c:pt>
                <c:pt idx="11">
                  <c:v>-2.4447401209062469E-2</c:v>
                </c:pt>
                <c:pt idx="12">
                  <c:v>2.5030703299555538E-3</c:v>
                </c:pt>
                <c:pt idx="13">
                  <c:v>-1.2973122623973186E-2</c:v>
                </c:pt>
                <c:pt idx="14">
                  <c:v>-1.555085490933427E-3</c:v>
                </c:pt>
                <c:pt idx="15">
                  <c:v>2.3188133306470078E-2</c:v>
                </c:pt>
                <c:pt idx="16">
                  <c:v>1.5338989224379127E-2</c:v>
                </c:pt>
                <c:pt idx="17">
                  <c:v>-8.6576906313044107E-3</c:v>
                </c:pt>
                <c:pt idx="18">
                  <c:v>1.2098700881695013E-3</c:v>
                </c:pt>
                <c:pt idx="19">
                  <c:v>3.559067437964071E-2</c:v>
                </c:pt>
                <c:pt idx="20">
                  <c:v>-1.6736254796593075E-2</c:v>
                </c:pt>
                <c:pt idx="21">
                  <c:v>-3.6089444237339041E-3</c:v>
                </c:pt>
                <c:pt idx="22">
                  <c:v>-1.3136250265860419E-2</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9-1AE9-6B46-B095-3ACDBBF2570D}"/>
            </c:ext>
          </c:extLst>
        </c:ser>
        <c:dLbls>
          <c:showLegendKey val="0"/>
          <c:showVal val="0"/>
          <c:showCatName val="0"/>
          <c:showSerName val="0"/>
          <c:showPercent val="0"/>
          <c:showBubbleSize val="0"/>
        </c:dLbls>
        <c:gapWidth val="30"/>
        <c:overlap val="100"/>
        <c:axId val="1217980096"/>
        <c:axId val="1244694672"/>
      </c:barChart>
      <c:lineChart>
        <c:grouping val="standard"/>
        <c:varyColors val="0"/>
        <c:ser>
          <c:idx val="0"/>
          <c:order val="0"/>
          <c:tx>
            <c:strRef>
              <c:f>'Dinámica de la deuda'!$A$37</c:f>
              <c:strCache>
                <c:ptCount val="1"/>
                <c:pt idx="0">
                  <c:v>Variación total de la deuda</c:v>
                </c:pt>
              </c:strCache>
            </c:strRef>
          </c:tx>
          <c:spPr>
            <a:ln w="22225" cap="rnd">
              <a:solidFill>
                <a:schemeClr val="tx1"/>
              </a:solidFill>
              <a:round/>
            </a:ln>
            <a:effectLst/>
          </c:spPr>
          <c:marker>
            <c:symbol val="none"/>
          </c:marker>
          <c:val>
            <c:numRef>
              <c:f>'Dinámica de la deuda'!$C$37:$AK$37</c:f>
              <c:numCache>
                <c:formatCode>0.0%</c:formatCode>
                <c:ptCount val="35"/>
                <c:pt idx="0">
                  <c:v>3.0367481876323481E-2</c:v>
                </c:pt>
                <c:pt idx="1">
                  <c:v>2.9047405058415805E-2</c:v>
                </c:pt>
                <c:pt idx="2">
                  <c:v>7.4084117154815984E-2</c:v>
                </c:pt>
                <c:pt idx="3">
                  <c:v>-1.1138388413385129E-2</c:v>
                </c:pt>
                <c:pt idx="4">
                  <c:v>-3.7350386718690703E-2</c:v>
                </c:pt>
                <c:pt idx="5">
                  <c:v>-1.0028581166446884E-2</c:v>
                </c:pt>
                <c:pt idx="6">
                  <c:v>-2.2233594523132609E-2</c:v>
                </c:pt>
                <c:pt idx="7">
                  <c:v>-2.4724267108921508E-2</c:v>
                </c:pt>
                <c:pt idx="8">
                  <c:v>-4.8605674201925809E-3</c:v>
                </c:pt>
                <c:pt idx="9">
                  <c:v>1.2858862755331444E-2</c:v>
                </c:pt>
                <c:pt idx="10">
                  <c:v>4.4609058595593606E-3</c:v>
                </c:pt>
                <c:pt idx="11">
                  <c:v>-2.5979571780207492E-2</c:v>
                </c:pt>
                <c:pt idx="12">
                  <c:v>-1.2268654831984875E-2</c:v>
                </c:pt>
                <c:pt idx="13">
                  <c:v>1.019289533297588E-2</c:v>
                </c:pt>
                <c:pt idx="14">
                  <c:v>2.5213114848785734E-2</c:v>
                </c:pt>
                <c:pt idx="15">
                  <c:v>5.0634843283453038E-2</c:v>
                </c:pt>
                <c:pt idx="16">
                  <c:v>1.3946357146473574E-2</c:v>
                </c:pt>
                <c:pt idx="17">
                  <c:v>6.1853656455930659E-3</c:v>
                </c:pt>
                <c:pt idx="18">
                  <c:v>2.558171269463699E-2</c:v>
                </c:pt>
                <c:pt idx="19">
                  <c:v>2.0456020054294369E-2</c:v>
                </c:pt>
                <c:pt idx="20">
                  <c:v>0.12312107693976593</c:v>
                </c:pt>
                <c:pt idx="21">
                  <c:v>-6.46327985702591E-3</c:v>
                </c:pt>
                <c:pt idx="22">
                  <c:v>-2.1116372195044732E-2</c:v>
                </c:pt>
                <c:pt idx="23">
                  <c:v>0</c:v>
                </c:pt>
                <c:pt idx="24">
                  <c:v>0</c:v>
                </c:pt>
                <c:pt idx="25">
                  <c:v>0</c:v>
                </c:pt>
                <c:pt idx="26">
                  <c:v>0</c:v>
                </c:pt>
                <c:pt idx="27">
                  <c:v>0</c:v>
                </c:pt>
                <c:pt idx="28">
                  <c:v>0</c:v>
                </c:pt>
                <c:pt idx="29">
                  <c:v>0</c:v>
                </c:pt>
                <c:pt idx="30">
                  <c:v>0</c:v>
                </c:pt>
                <c:pt idx="31">
                  <c:v>0</c:v>
                </c:pt>
                <c:pt idx="32">
                  <c:v>0</c:v>
                </c:pt>
                <c:pt idx="33">
                  <c:v>0</c:v>
                </c:pt>
                <c:pt idx="34">
                  <c:v>0</c:v>
                </c:pt>
              </c:numCache>
            </c:numRef>
          </c:val>
          <c:smooth val="0"/>
          <c:extLst>
            <c:ext xmlns:c16="http://schemas.microsoft.com/office/drawing/2014/chart" uri="{C3380CC4-5D6E-409C-BE32-E72D297353CC}">
              <c16:uniqueId val="{0000000A-1AE9-6B46-B095-3ACDBBF2570D}"/>
            </c:ext>
          </c:extLst>
        </c:ser>
        <c:dLbls>
          <c:showLegendKey val="0"/>
          <c:showVal val="0"/>
          <c:showCatName val="0"/>
          <c:showSerName val="0"/>
          <c:showPercent val="0"/>
          <c:showBubbleSize val="0"/>
        </c:dLbls>
        <c:marker val="1"/>
        <c:smooth val="0"/>
        <c:axId val="1217980096"/>
        <c:axId val="1244694672"/>
      </c:lineChart>
      <c:catAx>
        <c:axId val="1217980096"/>
        <c:scaling>
          <c:orientation val="minMax"/>
        </c:scaling>
        <c:delete val="0"/>
        <c:axPos val="b"/>
        <c:numFmt formatCode="0" sourceLinked="1"/>
        <c:majorTickMark val="none"/>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200" b="0" i="0" u="none" strike="noStrike" kern="1200" baseline="0">
                <a:solidFill>
                  <a:srgbClr val="003E6B"/>
                </a:solidFill>
                <a:latin typeface="Helvetica" pitchFamily="2" charset="0"/>
                <a:ea typeface="+mn-ea"/>
                <a:cs typeface="+mn-cs"/>
              </a:defRPr>
            </a:pPr>
            <a:endParaRPr lang="en-CO"/>
          </a:p>
        </c:txPr>
        <c:crossAx val="1244694672"/>
        <c:crosses val="autoZero"/>
        <c:auto val="1"/>
        <c:lblAlgn val="ctr"/>
        <c:lblOffset val="100"/>
        <c:noMultiLvlLbl val="0"/>
      </c:catAx>
      <c:valAx>
        <c:axId val="1244694672"/>
        <c:scaling>
          <c:orientation val="minMax"/>
          <c:max val="0.16"/>
          <c:min val="-0.13"/>
        </c:scaling>
        <c:delete val="1"/>
        <c:axPos val="l"/>
        <c:numFmt formatCode="0.0%" sourceLinked="1"/>
        <c:majorTickMark val="out"/>
        <c:minorTickMark val="none"/>
        <c:tickLblPos val="nextTo"/>
        <c:crossAx val="1217980096"/>
        <c:crosses val="autoZero"/>
        <c:crossBetween val="between"/>
      </c:valAx>
      <c:spPr>
        <a:noFill/>
        <a:ln>
          <a:noFill/>
        </a:ln>
        <a:effectLst/>
      </c:spPr>
    </c:plotArea>
    <c:legend>
      <c:legendPos val="b"/>
      <c:legendEntry>
        <c:idx val="7"/>
        <c:txPr>
          <a:bodyPr rot="0" spcFirstLastPara="1" vertOverflow="ellipsis" vert="horz" wrap="square" anchor="ctr" anchorCtr="1"/>
          <a:lstStyle/>
          <a:p>
            <a:pPr>
              <a:defRPr sz="1400" b="1" i="0" u="none" strike="noStrike" kern="1200" baseline="0">
                <a:solidFill>
                  <a:srgbClr val="003E6B"/>
                </a:solidFill>
                <a:latin typeface="Helvetica" pitchFamily="2" charset="0"/>
                <a:ea typeface="+mn-ea"/>
                <a:cs typeface="+mn-cs"/>
              </a:defRPr>
            </a:pPr>
            <a:endParaRPr lang="en-CO"/>
          </a:p>
        </c:txPr>
      </c:legendEntry>
      <c:layout>
        <c:manualLayout>
          <c:xMode val="edge"/>
          <c:yMode val="edge"/>
          <c:x val="1.0610606060606058E-2"/>
          <c:y val="0.86770797101449282"/>
          <c:w val="0.97908539898713898"/>
          <c:h val="0.13229212831064682"/>
        </c:manualLayout>
      </c:layout>
      <c:overlay val="0"/>
      <c:spPr>
        <a:noFill/>
        <a:ln>
          <a:noFill/>
        </a:ln>
        <a:effectLst/>
      </c:spPr>
      <c:txPr>
        <a:bodyPr rot="0" spcFirstLastPara="1" vertOverflow="ellipsis" vert="horz" wrap="square" anchor="ctr" anchorCtr="1"/>
        <a:lstStyle/>
        <a:p>
          <a:pPr>
            <a:defRPr sz="1200" b="0" i="0" u="none" strike="noStrike" kern="1200" baseline="0">
              <a:solidFill>
                <a:srgbClr val="003E6B"/>
              </a:solidFill>
              <a:latin typeface="Helvetica" pitchFamily="2" charset="0"/>
              <a:ea typeface="+mn-ea"/>
              <a:cs typeface="+mn-cs"/>
            </a:defRPr>
          </a:pPr>
          <a:endParaRPr lang="en-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rgbClr val="003E6B"/>
          </a:solidFill>
          <a:latin typeface="Helvetica" pitchFamily="2" charset="0"/>
        </a:defRPr>
      </a:pPr>
      <a:endParaRPr lang="en-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rgbClr val="003E6B"/>
                </a:solidFill>
                <a:latin typeface="Helvetica" pitchFamily="2" charset="0"/>
                <a:ea typeface="+mn-ea"/>
                <a:cs typeface="+mn-cs"/>
              </a:defRPr>
            </a:pPr>
            <a:r>
              <a:rPr lang="en-US" sz="1600" b="1"/>
              <a:t>Variación de la deuda</a:t>
            </a:r>
          </a:p>
          <a:p>
            <a:pPr>
              <a:defRPr/>
            </a:pPr>
            <a:r>
              <a:rPr lang="en-US"/>
              <a:t>(% del PIB)</a:t>
            </a:r>
          </a:p>
        </c:rich>
      </c:tx>
      <c:overlay val="0"/>
      <c:spPr>
        <a:noFill/>
        <a:ln>
          <a:noFill/>
        </a:ln>
        <a:effectLst/>
      </c:spPr>
      <c:txPr>
        <a:bodyPr rot="0" spcFirstLastPara="1" vertOverflow="ellipsis" vert="horz" wrap="square" anchor="ctr" anchorCtr="1"/>
        <a:lstStyle/>
        <a:p>
          <a:pPr>
            <a:defRPr sz="1440" b="0" i="0" u="none" strike="noStrike" kern="1200" spc="0" baseline="0">
              <a:solidFill>
                <a:srgbClr val="003E6B"/>
              </a:solidFill>
              <a:latin typeface="Helvetica" pitchFamily="2" charset="0"/>
              <a:ea typeface="+mn-ea"/>
              <a:cs typeface="+mn-cs"/>
            </a:defRPr>
          </a:pPr>
          <a:endParaRPr lang="en-CO"/>
        </a:p>
      </c:txPr>
    </c:title>
    <c:autoTitleDeleted val="0"/>
    <c:plotArea>
      <c:layout>
        <c:manualLayout>
          <c:layoutTarget val="inner"/>
          <c:xMode val="edge"/>
          <c:yMode val="edge"/>
          <c:x val="2.6326510895129995E-2"/>
          <c:y val="0.1085303893637227"/>
          <c:w val="0.96231241447245008"/>
          <c:h val="0.66609501952094552"/>
        </c:manualLayout>
      </c:layout>
      <c:barChart>
        <c:barDir val="col"/>
        <c:grouping val="stacked"/>
        <c:varyColors val="0"/>
        <c:ser>
          <c:idx val="2"/>
          <c:order val="1"/>
          <c:tx>
            <c:strRef>
              <c:f>'Dinámica de la deuda'!$A$39</c:f>
              <c:strCache>
                <c:ptCount val="1"/>
                <c:pt idx="0">
                  <c:v>Intereses</c:v>
                </c:pt>
              </c:strCache>
            </c:strRef>
          </c:tx>
          <c:spPr>
            <a:solidFill>
              <a:srgbClr val="4074C8"/>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deuda'!$Z$36:$AK$36</c:f>
              <c:numCache>
                <c:formatCode>0</c:formatCode>
                <c:ptCount val="12"/>
                <c:pt idx="0">
                  <c:v>2023</c:v>
                </c:pt>
                <c:pt idx="1">
                  <c:v>2024</c:v>
                </c:pt>
                <c:pt idx="2">
                  <c:v>2025</c:v>
                </c:pt>
                <c:pt idx="3">
                  <c:v>2026</c:v>
                </c:pt>
                <c:pt idx="4">
                  <c:v>2027</c:v>
                </c:pt>
                <c:pt idx="5">
                  <c:v>2028</c:v>
                </c:pt>
                <c:pt idx="6">
                  <c:v>2029</c:v>
                </c:pt>
                <c:pt idx="7">
                  <c:v>2030</c:v>
                </c:pt>
                <c:pt idx="8">
                  <c:v>2031</c:v>
                </c:pt>
                <c:pt idx="9">
                  <c:v>2032</c:v>
                </c:pt>
                <c:pt idx="10">
                  <c:v>2033</c:v>
                </c:pt>
                <c:pt idx="11">
                  <c:v>2034</c:v>
                </c:pt>
              </c:numCache>
            </c:numRef>
          </c:cat>
          <c:val>
            <c:numRef>
              <c:f>'Dinámica de la deuda'!$Z$39:$AK$39</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19B-344F-8200-5DA4E0446F9B}"/>
            </c:ext>
          </c:extLst>
        </c:ser>
        <c:ser>
          <c:idx val="3"/>
          <c:order val="2"/>
          <c:tx>
            <c:strRef>
              <c:f>'Dinámica de la deuda'!$A$40</c:f>
              <c:strCache>
                <c:ptCount val="1"/>
                <c:pt idx="0">
                  <c:v>Inflación</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deuda'!$Z$36:$AK$36</c:f>
              <c:numCache>
                <c:formatCode>0</c:formatCode>
                <c:ptCount val="12"/>
                <c:pt idx="0">
                  <c:v>2023</c:v>
                </c:pt>
                <c:pt idx="1">
                  <c:v>2024</c:v>
                </c:pt>
                <c:pt idx="2">
                  <c:v>2025</c:v>
                </c:pt>
                <c:pt idx="3">
                  <c:v>2026</c:v>
                </c:pt>
                <c:pt idx="4">
                  <c:v>2027</c:v>
                </c:pt>
                <c:pt idx="5">
                  <c:v>2028</c:v>
                </c:pt>
                <c:pt idx="6">
                  <c:v>2029</c:v>
                </c:pt>
                <c:pt idx="7">
                  <c:v>2030</c:v>
                </c:pt>
                <c:pt idx="8">
                  <c:v>2031</c:v>
                </c:pt>
                <c:pt idx="9">
                  <c:v>2032</c:v>
                </c:pt>
                <c:pt idx="10">
                  <c:v>2033</c:v>
                </c:pt>
                <c:pt idx="11">
                  <c:v>2034</c:v>
                </c:pt>
              </c:numCache>
            </c:numRef>
          </c:cat>
          <c:val>
            <c:numRef>
              <c:f>'Dinámica de la deuda'!$Z$40:$AK$40</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19B-344F-8200-5DA4E0446F9B}"/>
            </c:ext>
          </c:extLst>
        </c:ser>
        <c:ser>
          <c:idx val="4"/>
          <c:order val="3"/>
          <c:tx>
            <c:strRef>
              <c:f>'Dinámica de la deuda'!$A$41</c:f>
              <c:strCache>
                <c:ptCount val="1"/>
                <c:pt idx="0">
                  <c:v>Tasa de cambio</c:v>
                </c:pt>
              </c:strCache>
            </c:strRef>
          </c:tx>
          <c:spPr>
            <a:solidFill>
              <a:srgbClr val="7030A0"/>
            </a:solidFill>
            <a:ln>
              <a:noFill/>
            </a:ln>
            <a:effectLst/>
          </c:spPr>
          <c:invertIfNegative val="0"/>
          <c:cat>
            <c:numRef>
              <c:f>'Dinámica de la deuda'!$Z$36:$AK$36</c:f>
              <c:numCache>
                <c:formatCode>0</c:formatCode>
                <c:ptCount val="12"/>
                <c:pt idx="0">
                  <c:v>2023</c:v>
                </c:pt>
                <c:pt idx="1">
                  <c:v>2024</c:v>
                </c:pt>
                <c:pt idx="2">
                  <c:v>2025</c:v>
                </c:pt>
                <c:pt idx="3">
                  <c:v>2026</c:v>
                </c:pt>
                <c:pt idx="4">
                  <c:v>2027</c:v>
                </c:pt>
                <c:pt idx="5">
                  <c:v>2028</c:v>
                </c:pt>
                <c:pt idx="6">
                  <c:v>2029</c:v>
                </c:pt>
                <c:pt idx="7">
                  <c:v>2030</c:v>
                </c:pt>
                <c:pt idx="8">
                  <c:v>2031</c:v>
                </c:pt>
                <c:pt idx="9">
                  <c:v>2032</c:v>
                </c:pt>
                <c:pt idx="10">
                  <c:v>2033</c:v>
                </c:pt>
                <c:pt idx="11">
                  <c:v>2034</c:v>
                </c:pt>
              </c:numCache>
            </c:numRef>
          </c:cat>
          <c:val>
            <c:numRef>
              <c:f>'Dinámica de la deuda'!$Z$41:$AK$41</c:f>
              <c:numCache>
                <c:formatCode>0.0%</c:formatCode>
                <c:ptCount val="12"/>
                <c:pt idx="0">
                  <c:v>-0.24125693196134557</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519B-344F-8200-5DA4E0446F9B}"/>
            </c:ext>
          </c:extLst>
        </c:ser>
        <c:ser>
          <c:idx val="5"/>
          <c:order val="4"/>
          <c:tx>
            <c:strRef>
              <c:f>'Dinámica de la deuda'!$A$42</c:f>
              <c:strCache>
                <c:ptCount val="1"/>
                <c:pt idx="0">
                  <c:v>Crecimiento real</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deuda'!$Z$36:$AK$36</c:f>
              <c:numCache>
                <c:formatCode>0</c:formatCode>
                <c:ptCount val="12"/>
                <c:pt idx="0">
                  <c:v>2023</c:v>
                </c:pt>
                <c:pt idx="1">
                  <c:v>2024</c:v>
                </c:pt>
                <c:pt idx="2">
                  <c:v>2025</c:v>
                </c:pt>
                <c:pt idx="3">
                  <c:v>2026</c:v>
                </c:pt>
                <c:pt idx="4">
                  <c:v>2027</c:v>
                </c:pt>
                <c:pt idx="5">
                  <c:v>2028</c:v>
                </c:pt>
                <c:pt idx="6">
                  <c:v>2029</c:v>
                </c:pt>
                <c:pt idx="7">
                  <c:v>2030</c:v>
                </c:pt>
                <c:pt idx="8">
                  <c:v>2031</c:v>
                </c:pt>
                <c:pt idx="9">
                  <c:v>2032</c:v>
                </c:pt>
                <c:pt idx="10">
                  <c:v>2033</c:v>
                </c:pt>
                <c:pt idx="11">
                  <c:v>2034</c:v>
                </c:pt>
              </c:numCache>
            </c:numRef>
          </c:cat>
          <c:val>
            <c:numRef>
              <c:f>'Dinámica de la deuda'!$Z$42:$AK$42</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519B-344F-8200-5DA4E0446F9B}"/>
            </c:ext>
          </c:extLst>
        </c:ser>
        <c:ser>
          <c:idx val="6"/>
          <c:order val="5"/>
          <c:tx>
            <c:strRef>
              <c:f>'Dinámica de la deuda'!$A$43</c:f>
              <c:strCache>
                <c:ptCount val="1"/>
                <c:pt idx="0">
                  <c:v>Balance primario</c:v>
                </c:pt>
              </c:strCache>
            </c:strRef>
          </c:tx>
          <c:spPr>
            <a:solidFill>
              <a:schemeClr val="accent2"/>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4-519B-344F-8200-5DA4E0446F9B}"/>
                </c:ext>
              </c:extLst>
            </c:dLbl>
            <c:dLbl>
              <c:idx val="1"/>
              <c:delete val="1"/>
              <c:extLst>
                <c:ext xmlns:c15="http://schemas.microsoft.com/office/drawing/2012/chart" uri="{CE6537A1-D6FC-4f65-9D91-7224C49458BB}"/>
                <c:ext xmlns:c16="http://schemas.microsoft.com/office/drawing/2014/chart" uri="{C3380CC4-5D6E-409C-BE32-E72D297353CC}">
                  <c16:uniqueId val="{00000005-519B-344F-8200-5DA4E0446F9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deuda'!$Z$36:$AK$36</c:f>
              <c:numCache>
                <c:formatCode>0</c:formatCode>
                <c:ptCount val="12"/>
                <c:pt idx="0">
                  <c:v>2023</c:v>
                </c:pt>
                <c:pt idx="1">
                  <c:v>2024</c:v>
                </c:pt>
                <c:pt idx="2">
                  <c:v>2025</c:v>
                </c:pt>
                <c:pt idx="3">
                  <c:v>2026</c:v>
                </c:pt>
                <c:pt idx="4">
                  <c:v>2027</c:v>
                </c:pt>
                <c:pt idx="5">
                  <c:v>2028</c:v>
                </c:pt>
                <c:pt idx="6">
                  <c:v>2029</c:v>
                </c:pt>
                <c:pt idx="7">
                  <c:v>2030</c:v>
                </c:pt>
                <c:pt idx="8">
                  <c:v>2031</c:v>
                </c:pt>
                <c:pt idx="9">
                  <c:v>2032</c:v>
                </c:pt>
                <c:pt idx="10">
                  <c:v>2033</c:v>
                </c:pt>
                <c:pt idx="11">
                  <c:v>2034</c:v>
                </c:pt>
              </c:numCache>
            </c:numRef>
          </c:cat>
          <c:val>
            <c:numRef>
              <c:f>'Dinámica de la deuda'!$Z$43:$AK$43</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519B-344F-8200-5DA4E0446F9B}"/>
            </c:ext>
          </c:extLst>
        </c:ser>
        <c:ser>
          <c:idx val="1"/>
          <c:order val="6"/>
          <c:tx>
            <c:strRef>
              <c:f>'Dinámica de la deuda'!$A$44</c:f>
              <c:strCache>
                <c:ptCount val="1"/>
                <c:pt idx="0">
                  <c:v>Flujo de activos financieros</c:v>
                </c:pt>
              </c:strCache>
            </c:strRef>
          </c:tx>
          <c:spPr>
            <a:solidFill>
              <a:schemeClr val="bg1">
                <a:lumMod val="65000"/>
              </a:schemeClr>
            </a:solidFill>
            <a:ln>
              <a:noFill/>
            </a:ln>
            <a:effectLst/>
          </c:spPr>
          <c:invertIfNegative val="0"/>
          <c:dLbls>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19B-344F-8200-5DA4E0446F9B}"/>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Helvetica" pitchFamily="2" charset="0"/>
                    <a:ea typeface="+mn-ea"/>
                    <a:cs typeface="+mn-cs"/>
                  </a:defRPr>
                </a:pPr>
                <a:endParaRPr lang="en-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deuda'!$Z$36:$AK$36</c:f>
              <c:numCache>
                <c:formatCode>0</c:formatCode>
                <c:ptCount val="12"/>
                <c:pt idx="0">
                  <c:v>2023</c:v>
                </c:pt>
                <c:pt idx="1">
                  <c:v>2024</c:v>
                </c:pt>
                <c:pt idx="2">
                  <c:v>2025</c:v>
                </c:pt>
                <c:pt idx="3">
                  <c:v>2026</c:v>
                </c:pt>
                <c:pt idx="4">
                  <c:v>2027</c:v>
                </c:pt>
                <c:pt idx="5">
                  <c:v>2028</c:v>
                </c:pt>
                <c:pt idx="6">
                  <c:v>2029</c:v>
                </c:pt>
                <c:pt idx="7">
                  <c:v>2030</c:v>
                </c:pt>
                <c:pt idx="8">
                  <c:v>2031</c:v>
                </c:pt>
                <c:pt idx="9">
                  <c:v>2032</c:v>
                </c:pt>
                <c:pt idx="10">
                  <c:v>2033</c:v>
                </c:pt>
                <c:pt idx="11">
                  <c:v>2034</c:v>
                </c:pt>
              </c:numCache>
            </c:numRef>
          </c:cat>
          <c:val>
            <c:numRef>
              <c:f>'Dinámica de la deuda'!$Z$44:$AK$44</c:f>
              <c:numCache>
                <c:formatCode>0.0%</c:formatCode>
                <c:ptCount val="12"/>
                <c:pt idx="0">
                  <c:v>-3.1963626726928054E-2</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519B-344F-8200-5DA4E0446F9B}"/>
            </c:ext>
          </c:extLst>
        </c:ser>
        <c:ser>
          <c:idx val="7"/>
          <c:order val="7"/>
          <c:tx>
            <c:strRef>
              <c:f>'Dinámica de la deuda'!$A$45</c:f>
              <c:strCache>
                <c:ptCount val="1"/>
                <c:pt idx="0">
                  <c:v>Ajuste (flujo-saldo)</c:v>
                </c:pt>
              </c:strCache>
            </c:strRef>
          </c:tx>
          <c:spPr>
            <a:solidFill>
              <a:srgbClr val="002060"/>
            </a:solidFill>
            <a:ln>
              <a:noFill/>
            </a:ln>
            <a:effectLst/>
          </c:spPr>
          <c:invertIfNegative val="0"/>
          <c:dLbls>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19B-344F-8200-5DA4E0446F9B}"/>
                </c:ext>
              </c:extLst>
            </c:dLbl>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bg1"/>
                    </a:solidFill>
                    <a:latin typeface="Helvetica" pitchFamily="2" charset="0"/>
                    <a:ea typeface="+mn-ea"/>
                    <a:cs typeface="+mn-cs"/>
                  </a:defRPr>
                </a:pPr>
                <a:endParaRPr lang="en-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deuda'!$Z$36:$AK$36</c:f>
              <c:numCache>
                <c:formatCode>0</c:formatCode>
                <c:ptCount val="12"/>
                <c:pt idx="0">
                  <c:v>2023</c:v>
                </c:pt>
                <c:pt idx="1">
                  <c:v>2024</c:v>
                </c:pt>
                <c:pt idx="2">
                  <c:v>2025</c:v>
                </c:pt>
                <c:pt idx="3">
                  <c:v>2026</c:v>
                </c:pt>
                <c:pt idx="4">
                  <c:v>2027</c:v>
                </c:pt>
                <c:pt idx="5">
                  <c:v>2028</c:v>
                </c:pt>
                <c:pt idx="6">
                  <c:v>2029</c:v>
                </c:pt>
                <c:pt idx="7">
                  <c:v>2030</c:v>
                </c:pt>
                <c:pt idx="8">
                  <c:v>2031</c:v>
                </c:pt>
                <c:pt idx="9">
                  <c:v>2032</c:v>
                </c:pt>
                <c:pt idx="10">
                  <c:v>2033</c:v>
                </c:pt>
                <c:pt idx="11">
                  <c:v>2034</c:v>
                </c:pt>
              </c:numCache>
            </c:numRef>
          </c:cat>
          <c:val>
            <c:numRef>
              <c:f>'Dinámica de la deuda'!$Z$45:$AK$45</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A-519B-344F-8200-5DA4E0446F9B}"/>
            </c:ext>
          </c:extLst>
        </c:ser>
        <c:dLbls>
          <c:showLegendKey val="0"/>
          <c:showVal val="0"/>
          <c:showCatName val="0"/>
          <c:showSerName val="0"/>
          <c:showPercent val="0"/>
          <c:showBubbleSize val="0"/>
        </c:dLbls>
        <c:gapWidth val="30"/>
        <c:overlap val="100"/>
        <c:axId val="1217980096"/>
        <c:axId val="1244694672"/>
      </c:barChart>
      <c:lineChart>
        <c:grouping val="standard"/>
        <c:varyColors val="0"/>
        <c:ser>
          <c:idx val="0"/>
          <c:order val="0"/>
          <c:tx>
            <c:strRef>
              <c:f>'Dinámica de la deuda'!$A$37</c:f>
              <c:strCache>
                <c:ptCount val="1"/>
                <c:pt idx="0">
                  <c:v>Variación total de la deuda</c:v>
                </c:pt>
              </c:strCache>
            </c:strRef>
          </c:tx>
          <c:spPr>
            <a:ln w="22225" cap="rnd">
              <a:solidFill>
                <a:schemeClr val="tx1"/>
              </a:solidFill>
              <a:round/>
            </a:ln>
            <a:effectLst/>
          </c:spPr>
          <c:marker>
            <c:symbol val="none"/>
          </c:marker>
          <c:val>
            <c:numRef>
              <c:f>'Dinámica de la deuda'!$Z$37:$AK$37</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B-519B-344F-8200-5DA4E0446F9B}"/>
            </c:ext>
          </c:extLst>
        </c:ser>
        <c:dLbls>
          <c:showLegendKey val="0"/>
          <c:showVal val="0"/>
          <c:showCatName val="0"/>
          <c:showSerName val="0"/>
          <c:showPercent val="0"/>
          <c:showBubbleSize val="0"/>
        </c:dLbls>
        <c:marker val="1"/>
        <c:smooth val="0"/>
        <c:axId val="1217980096"/>
        <c:axId val="1244694672"/>
      </c:lineChart>
      <c:catAx>
        <c:axId val="1217980096"/>
        <c:scaling>
          <c:orientation val="minMax"/>
        </c:scaling>
        <c:delete val="0"/>
        <c:axPos val="b"/>
        <c:numFmt formatCode="0"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rgbClr val="003E6B"/>
                </a:solidFill>
                <a:latin typeface="Helvetica" pitchFamily="2" charset="0"/>
                <a:ea typeface="+mn-ea"/>
                <a:cs typeface="+mn-cs"/>
              </a:defRPr>
            </a:pPr>
            <a:endParaRPr lang="en-CO"/>
          </a:p>
        </c:txPr>
        <c:crossAx val="1244694672"/>
        <c:crosses val="autoZero"/>
        <c:auto val="1"/>
        <c:lblAlgn val="ctr"/>
        <c:lblOffset val="100"/>
        <c:noMultiLvlLbl val="0"/>
      </c:catAx>
      <c:valAx>
        <c:axId val="1244694672"/>
        <c:scaling>
          <c:orientation val="minMax"/>
        </c:scaling>
        <c:delete val="1"/>
        <c:axPos val="l"/>
        <c:numFmt formatCode="0.0%" sourceLinked="1"/>
        <c:majorTickMark val="out"/>
        <c:minorTickMark val="none"/>
        <c:tickLblPos val="nextTo"/>
        <c:crossAx val="1217980096"/>
        <c:crosses val="autoZero"/>
        <c:crossBetween val="between"/>
      </c:valAx>
      <c:spPr>
        <a:noFill/>
        <a:ln>
          <a:noFill/>
        </a:ln>
        <a:effectLst/>
      </c:spPr>
    </c:plotArea>
    <c:legend>
      <c:legendPos val="b"/>
      <c:legendEntry>
        <c:idx val="7"/>
        <c:txPr>
          <a:bodyPr rot="0" spcFirstLastPara="1" vertOverflow="ellipsis" vert="horz" wrap="square" anchor="ctr" anchorCtr="1"/>
          <a:lstStyle/>
          <a:p>
            <a:pPr>
              <a:defRPr sz="1400" b="1" i="0" u="none" strike="noStrike" kern="1200" baseline="0">
                <a:solidFill>
                  <a:srgbClr val="003E6B"/>
                </a:solidFill>
                <a:latin typeface="Helvetica" pitchFamily="2" charset="0"/>
                <a:ea typeface="+mn-ea"/>
                <a:cs typeface="+mn-cs"/>
              </a:defRPr>
            </a:pPr>
            <a:endParaRPr lang="en-CO"/>
          </a:p>
        </c:txPr>
      </c:legendEntry>
      <c:layout>
        <c:manualLayout>
          <c:xMode val="edge"/>
          <c:yMode val="edge"/>
          <c:x val="1.0610606060606058E-2"/>
          <c:y val="0.86770797101449282"/>
          <c:w val="0.97908539898713898"/>
          <c:h val="0.13229212831064682"/>
        </c:manualLayout>
      </c:layout>
      <c:overlay val="0"/>
      <c:spPr>
        <a:noFill/>
        <a:ln>
          <a:noFill/>
        </a:ln>
        <a:effectLst/>
      </c:spPr>
      <c:txPr>
        <a:bodyPr rot="0" spcFirstLastPara="1" vertOverflow="ellipsis" vert="horz" wrap="square" anchor="ctr" anchorCtr="1"/>
        <a:lstStyle/>
        <a:p>
          <a:pPr>
            <a:defRPr sz="1200" b="0" i="0" u="none" strike="noStrike" kern="1200" baseline="0">
              <a:solidFill>
                <a:srgbClr val="003E6B"/>
              </a:solidFill>
              <a:latin typeface="Helvetica" pitchFamily="2" charset="0"/>
              <a:ea typeface="+mn-ea"/>
              <a:cs typeface="+mn-cs"/>
            </a:defRPr>
          </a:pPr>
          <a:endParaRPr lang="en-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rgbClr val="003E6B"/>
          </a:solidFill>
          <a:latin typeface="Helvetica" pitchFamily="2" charset="0"/>
        </a:defRPr>
      </a:pPr>
      <a:endParaRPr lang="en-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rgbClr val="003E6B"/>
                </a:solidFill>
                <a:latin typeface="Helvetica" pitchFamily="2" charset="0"/>
                <a:ea typeface="+mn-ea"/>
                <a:cs typeface="+mn-cs"/>
              </a:defRPr>
            </a:pPr>
            <a:r>
              <a:rPr lang="en-US" sz="1600" b="1"/>
              <a:t>Variación de la deuda</a:t>
            </a:r>
          </a:p>
          <a:p>
            <a:pPr>
              <a:defRPr/>
            </a:pPr>
            <a:r>
              <a:rPr lang="en-US"/>
              <a:t>(% del PIB)</a:t>
            </a:r>
          </a:p>
        </c:rich>
      </c:tx>
      <c:overlay val="0"/>
      <c:spPr>
        <a:noFill/>
        <a:ln>
          <a:noFill/>
        </a:ln>
        <a:effectLst/>
      </c:spPr>
      <c:txPr>
        <a:bodyPr rot="0" spcFirstLastPara="1" vertOverflow="ellipsis" vert="horz" wrap="square" anchor="ctr" anchorCtr="1"/>
        <a:lstStyle/>
        <a:p>
          <a:pPr>
            <a:defRPr sz="1440" b="0" i="0" u="none" strike="noStrike" kern="1200" spc="0" baseline="0">
              <a:solidFill>
                <a:srgbClr val="003E6B"/>
              </a:solidFill>
              <a:latin typeface="Helvetica" pitchFamily="2" charset="0"/>
              <a:ea typeface="+mn-ea"/>
              <a:cs typeface="+mn-cs"/>
            </a:defRPr>
          </a:pPr>
          <a:endParaRPr lang="en-CO"/>
        </a:p>
      </c:txPr>
    </c:title>
    <c:autoTitleDeleted val="0"/>
    <c:plotArea>
      <c:layout>
        <c:manualLayout>
          <c:layoutTarget val="inner"/>
          <c:xMode val="edge"/>
          <c:yMode val="edge"/>
          <c:x val="2.6326510895129995E-2"/>
          <c:y val="0.1085303893637227"/>
          <c:w val="0.96231241447245008"/>
          <c:h val="0.62589242376279408"/>
        </c:manualLayout>
      </c:layout>
      <c:barChart>
        <c:barDir val="col"/>
        <c:grouping val="stacked"/>
        <c:varyColors val="0"/>
        <c:ser>
          <c:idx val="2"/>
          <c:order val="1"/>
          <c:tx>
            <c:strRef>
              <c:f>'Dinámica de la deuda'!$A$39</c:f>
              <c:strCache>
                <c:ptCount val="1"/>
                <c:pt idx="0">
                  <c:v>Intereses</c:v>
                </c:pt>
              </c:strCache>
            </c:strRef>
          </c:tx>
          <c:spPr>
            <a:solidFill>
              <a:srgbClr val="4074C8"/>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bg1"/>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deuda'!$U$36:$Y$36</c:f>
              <c:numCache>
                <c:formatCode>0</c:formatCode>
                <c:ptCount val="5"/>
                <c:pt idx="0">
                  <c:v>2018</c:v>
                </c:pt>
                <c:pt idx="1">
                  <c:v>2019</c:v>
                </c:pt>
                <c:pt idx="2">
                  <c:v>2020</c:v>
                </c:pt>
                <c:pt idx="3">
                  <c:v>2021</c:v>
                </c:pt>
                <c:pt idx="4">
                  <c:v>2022</c:v>
                </c:pt>
              </c:numCache>
            </c:numRef>
          </c:cat>
          <c:val>
            <c:numRef>
              <c:f>'Dinámica de la deuda'!$U$39:$Y$39</c:f>
              <c:numCache>
                <c:formatCode>0.0%</c:formatCode>
                <c:ptCount val="5"/>
                <c:pt idx="0">
                  <c:v>2.8204603196653511E-2</c:v>
                </c:pt>
                <c:pt idx="1">
                  <c:v>2.9111823821445931E-2</c:v>
                </c:pt>
                <c:pt idx="2">
                  <c:v>2.8364401603088465E-2</c:v>
                </c:pt>
                <c:pt idx="3">
                  <c:v>3.3915537415822899E-2</c:v>
                </c:pt>
                <c:pt idx="4">
                  <c:v>4.3556614531498471E-2</c:v>
                </c:pt>
              </c:numCache>
            </c:numRef>
          </c:val>
          <c:extLst>
            <c:ext xmlns:c16="http://schemas.microsoft.com/office/drawing/2014/chart" uri="{C3380CC4-5D6E-409C-BE32-E72D297353CC}">
              <c16:uniqueId val="{00000000-B7FD-4940-B390-B1039D840974}"/>
            </c:ext>
          </c:extLst>
        </c:ser>
        <c:ser>
          <c:idx val="3"/>
          <c:order val="2"/>
          <c:tx>
            <c:strRef>
              <c:f>'Dinámica de la deuda'!$A$40</c:f>
              <c:strCache>
                <c:ptCount val="1"/>
                <c:pt idx="0">
                  <c:v>Inflación</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deuda'!$U$36:$Y$36</c:f>
              <c:numCache>
                <c:formatCode>0</c:formatCode>
                <c:ptCount val="5"/>
                <c:pt idx="0">
                  <c:v>2018</c:v>
                </c:pt>
                <c:pt idx="1">
                  <c:v>2019</c:v>
                </c:pt>
                <c:pt idx="2">
                  <c:v>2020</c:v>
                </c:pt>
                <c:pt idx="3">
                  <c:v>2021</c:v>
                </c:pt>
                <c:pt idx="4">
                  <c:v>2022</c:v>
                </c:pt>
              </c:numCache>
            </c:numRef>
          </c:cat>
          <c:val>
            <c:numRef>
              <c:f>'Dinámica de la deuda'!$U$40:$Y$40</c:f>
              <c:numCache>
                <c:formatCode>0.0%</c:formatCode>
                <c:ptCount val="5"/>
                <c:pt idx="0">
                  <c:v>-1.3494671659577731E-2</c:v>
                </c:pt>
                <c:pt idx="1">
                  <c:v>-1.6965906433440783E-2</c:v>
                </c:pt>
                <c:pt idx="2">
                  <c:v>-7.6672371711133122E-3</c:v>
                </c:pt>
                <c:pt idx="3">
                  <c:v>-3.2298995895891511E-2</c:v>
                </c:pt>
                <c:pt idx="4">
                  <c:v>-6.965371645156497E-2</c:v>
                </c:pt>
              </c:numCache>
            </c:numRef>
          </c:val>
          <c:extLst>
            <c:ext xmlns:c16="http://schemas.microsoft.com/office/drawing/2014/chart" uri="{C3380CC4-5D6E-409C-BE32-E72D297353CC}">
              <c16:uniqueId val="{00000001-B7FD-4940-B390-B1039D840974}"/>
            </c:ext>
          </c:extLst>
        </c:ser>
        <c:ser>
          <c:idx val="4"/>
          <c:order val="3"/>
          <c:tx>
            <c:strRef>
              <c:f>'Dinámica de la deuda'!$A$41</c:f>
              <c:strCache>
                <c:ptCount val="1"/>
                <c:pt idx="0">
                  <c:v>Tasa de cambio</c:v>
                </c:pt>
              </c:strCache>
            </c:strRef>
          </c:tx>
          <c:spPr>
            <a:solidFill>
              <a:srgbClr val="7030A0"/>
            </a:solidFill>
            <a:ln>
              <a:noFill/>
            </a:ln>
            <a:effectLst/>
          </c:spPr>
          <c:invertIfNegative val="0"/>
          <c:dLbls>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FD-4940-B390-B1039D840974}"/>
                </c:ext>
              </c:extLst>
            </c:dLbl>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7FD-4940-B390-B1039D840974}"/>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bg1"/>
                    </a:solidFill>
                    <a:latin typeface="Helvetica" pitchFamily="2" charset="0"/>
                    <a:ea typeface="+mn-ea"/>
                    <a:cs typeface="+mn-cs"/>
                  </a:defRPr>
                </a:pPr>
                <a:endParaRPr lang="en-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deuda'!$U$36:$Y$36</c:f>
              <c:numCache>
                <c:formatCode>0</c:formatCode>
                <c:ptCount val="5"/>
                <c:pt idx="0">
                  <c:v>2018</c:v>
                </c:pt>
                <c:pt idx="1">
                  <c:v>2019</c:v>
                </c:pt>
                <c:pt idx="2">
                  <c:v>2020</c:v>
                </c:pt>
                <c:pt idx="3">
                  <c:v>2021</c:v>
                </c:pt>
                <c:pt idx="4">
                  <c:v>2022</c:v>
                </c:pt>
              </c:numCache>
            </c:numRef>
          </c:cat>
          <c:val>
            <c:numRef>
              <c:f>'Dinámica de la deuda'!$U$41:$Y$41</c:f>
              <c:numCache>
                <c:formatCode>0.0%</c:formatCode>
                <c:ptCount val="5"/>
                <c:pt idx="0">
                  <c:v>1.2941721086968106E-2</c:v>
                </c:pt>
                <c:pt idx="1">
                  <c:v>1.2962341504587571E-3</c:v>
                </c:pt>
                <c:pt idx="2">
                  <c:v>8.1245914944355589E-3</c:v>
                </c:pt>
                <c:pt idx="3">
                  <c:v>3.0699221164435395E-2</c:v>
                </c:pt>
                <c:pt idx="4">
                  <c:v>4.2533396268290016E-2</c:v>
                </c:pt>
              </c:numCache>
            </c:numRef>
          </c:val>
          <c:extLst>
            <c:ext xmlns:c16="http://schemas.microsoft.com/office/drawing/2014/chart" uri="{C3380CC4-5D6E-409C-BE32-E72D297353CC}">
              <c16:uniqueId val="{00000004-B7FD-4940-B390-B1039D840974}"/>
            </c:ext>
          </c:extLst>
        </c:ser>
        <c:ser>
          <c:idx val="5"/>
          <c:order val="4"/>
          <c:tx>
            <c:strRef>
              <c:f>'Dinámica de la deuda'!$A$42</c:f>
              <c:strCache>
                <c:ptCount val="1"/>
                <c:pt idx="0">
                  <c:v>Crecimiento real</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Helvetica" pitchFamily="2" charset="0"/>
                    <a:ea typeface="+mn-ea"/>
                    <a:cs typeface="+mn-cs"/>
                  </a:defRPr>
                </a:pPr>
                <a:endParaRPr lang="en-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deuda'!$U$36:$Y$36</c:f>
              <c:numCache>
                <c:formatCode>0</c:formatCode>
                <c:ptCount val="5"/>
                <c:pt idx="0">
                  <c:v>2018</c:v>
                </c:pt>
                <c:pt idx="1">
                  <c:v>2019</c:v>
                </c:pt>
                <c:pt idx="2">
                  <c:v>2020</c:v>
                </c:pt>
                <c:pt idx="3">
                  <c:v>2021</c:v>
                </c:pt>
                <c:pt idx="4">
                  <c:v>2022</c:v>
                </c:pt>
              </c:numCache>
            </c:numRef>
          </c:cat>
          <c:val>
            <c:numRef>
              <c:f>'Dinámica de la deuda'!$U$42:$Y$42</c:f>
              <c:numCache>
                <c:formatCode>0.0%</c:formatCode>
                <c:ptCount val="5"/>
                <c:pt idx="0">
                  <c:v>-1.06099130290836E-2</c:v>
                </c:pt>
                <c:pt idx="1">
                  <c:v>-1.3788958058472127E-2</c:v>
                </c:pt>
                <c:pt idx="2">
                  <c:v>3.7237933675547882E-2</c:v>
                </c:pt>
                <c:pt idx="3">
                  <c:v>-5.7029284241699361E-2</c:v>
                </c:pt>
                <c:pt idx="4">
                  <c:v>-3.7019934625452326E-2</c:v>
                </c:pt>
              </c:numCache>
            </c:numRef>
          </c:val>
          <c:extLst>
            <c:ext xmlns:c16="http://schemas.microsoft.com/office/drawing/2014/chart" uri="{C3380CC4-5D6E-409C-BE32-E72D297353CC}">
              <c16:uniqueId val="{00000005-B7FD-4940-B390-B1039D840974}"/>
            </c:ext>
          </c:extLst>
        </c:ser>
        <c:ser>
          <c:idx val="6"/>
          <c:order val="5"/>
          <c:tx>
            <c:strRef>
              <c:f>'Dinámica de la deuda'!$A$43</c:f>
              <c:strCache>
                <c:ptCount val="1"/>
                <c:pt idx="0">
                  <c:v>Balance primario</c:v>
                </c:pt>
              </c:strCache>
            </c:strRef>
          </c:tx>
          <c:spPr>
            <a:solidFill>
              <a:schemeClr val="accent2"/>
            </a:solidFill>
            <a:ln>
              <a:noFill/>
            </a:ln>
            <a:effectLst/>
          </c:spPr>
          <c:invertIfNegative val="0"/>
          <c:dLbls>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7FD-4940-B390-B1039D840974}"/>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7FD-4940-B390-B1039D840974}"/>
                </c:ext>
              </c:extLst>
            </c:dLbl>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7FD-4940-B390-B1039D840974}"/>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solidFill>
                    <a:latin typeface="Helvetica" pitchFamily="2" charset="0"/>
                    <a:ea typeface="+mn-ea"/>
                    <a:cs typeface="+mn-cs"/>
                  </a:defRPr>
                </a:pPr>
                <a:endParaRPr lang="en-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deuda'!$U$36:$Y$36</c:f>
              <c:numCache>
                <c:formatCode>0</c:formatCode>
                <c:ptCount val="5"/>
                <c:pt idx="0">
                  <c:v>2018</c:v>
                </c:pt>
                <c:pt idx="1">
                  <c:v>2019</c:v>
                </c:pt>
                <c:pt idx="2">
                  <c:v>2020</c:v>
                </c:pt>
                <c:pt idx="3">
                  <c:v>2021</c:v>
                </c:pt>
                <c:pt idx="4">
                  <c:v>2022</c:v>
                </c:pt>
              </c:numCache>
            </c:numRef>
          </c:cat>
          <c:val>
            <c:numRef>
              <c:f>'Dinámica de la deuda'!$U$43:$Y$43</c:f>
              <c:numCache>
                <c:formatCode>0.0%</c:formatCode>
                <c:ptCount val="5"/>
                <c:pt idx="0">
                  <c:v>3.4164852666381286E-3</c:v>
                </c:pt>
                <c:pt idx="1">
                  <c:v>-4.4826667284460662E-3</c:v>
                </c:pt>
                <c:pt idx="2">
                  <c:v>4.953895862953353E-2</c:v>
                </c:pt>
                <c:pt idx="3">
                  <c:v>3.6451099520905784E-2</c:v>
                </c:pt>
                <c:pt idx="4">
                  <c:v>9.856070225871736E-3</c:v>
                </c:pt>
              </c:numCache>
            </c:numRef>
          </c:val>
          <c:extLst>
            <c:ext xmlns:c16="http://schemas.microsoft.com/office/drawing/2014/chart" uri="{C3380CC4-5D6E-409C-BE32-E72D297353CC}">
              <c16:uniqueId val="{00000009-B7FD-4940-B390-B1039D840974}"/>
            </c:ext>
          </c:extLst>
        </c:ser>
        <c:ser>
          <c:idx val="1"/>
          <c:order val="6"/>
          <c:tx>
            <c:strRef>
              <c:f>'Dinámica de la deuda'!$A$44</c:f>
              <c:strCache>
                <c:ptCount val="1"/>
                <c:pt idx="0">
                  <c:v>Flujo de activos financieros</c:v>
                </c:pt>
              </c:strCache>
            </c:strRef>
          </c:tx>
          <c:spPr>
            <a:solidFill>
              <a:schemeClr val="bg1">
                <a:lumMod val="65000"/>
              </a:schemeClr>
            </a:solidFill>
            <a:ln>
              <a:noFill/>
            </a:ln>
            <a:effectLst/>
          </c:spPr>
          <c:invertIfNegative val="0"/>
          <c:dLbls>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7FD-4940-B390-B1039D840974}"/>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7FD-4940-B390-B1039D840974}"/>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Helvetica" pitchFamily="2" charset="0"/>
                    <a:ea typeface="+mn-ea"/>
                    <a:cs typeface="+mn-cs"/>
                  </a:defRPr>
                </a:pPr>
                <a:endParaRPr lang="en-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'Dinámica de la deuda'!$U$36:$Y$36</c:f>
              <c:numCache>
                <c:formatCode>0</c:formatCode>
                <c:ptCount val="5"/>
                <c:pt idx="0">
                  <c:v>2018</c:v>
                </c:pt>
                <c:pt idx="1">
                  <c:v>2019</c:v>
                </c:pt>
                <c:pt idx="2">
                  <c:v>2020</c:v>
                </c:pt>
                <c:pt idx="3">
                  <c:v>2021</c:v>
                </c:pt>
                <c:pt idx="4">
                  <c:v>2022</c:v>
                </c:pt>
              </c:numCache>
            </c:numRef>
          </c:cat>
          <c:val>
            <c:numRef>
              <c:f>'Dinámica de la deuda'!$U$44:$Y$44</c:f>
              <c:numCache>
                <c:formatCode>0.0%</c:formatCode>
                <c:ptCount val="5"/>
                <c:pt idx="0">
                  <c:v>3.9136177448690782E-3</c:v>
                </c:pt>
                <c:pt idx="1">
                  <c:v>-1.0305181076892054E-2</c:v>
                </c:pt>
                <c:pt idx="2">
                  <c:v>2.4258683504866888E-2</c:v>
                </c:pt>
                <c:pt idx="3">
                  <c:v>-1.4591913396865212E-2</c:v>
                </c:pt>
                <c:pt idx="4">
                  <c:v>2.7474481221727619E-3</c:v>
                </c:pt>
              </c:numCache>
            </c:numRef>
          </c:val>
          <c:extLst>
            <c:ext xmlns:c16="http://schemas.microsoft.com/office/drawing/2014/chart" uri="{C3380CC4-5D6E-409C-BE32-E72D297353CC}">
              <c16:uniqueId val="{0000000C-B7FD-4940-B390-B1039D840974}"/>
            </c:ext>
          </c:extLst>
        </c:ser>
        <c:ser>
          <c:idx val="7"/>
          <c:order val="7"/>
          <c:tx>
            <c:strRef>
              <c:f>'Dinámica de la deuda'!$A$45</c:f>
              <c:strCache>
                <c:ptCount val="1"/>
                <c:pt idx="0">
                  <c:v>Ajuste (flujo-saldo)</c:v>
                </c:pt>
              </c:strCache>
            </c:strRef>
          </c:tx>
          <c:spPr>
            <a:solidFill>
              <a:srgbClr val="002060"/>
            </a:solidFill>
            <a:ln>
              <a:noFill/>
            </a:ln>
            <a:effectLst/>
          </c:spPr>
          <c:invertIfNegative val="0"/>
          <c:cat>
            <c:numRef>
              <c:f>'Dinámica de la deuda'!$U$36:$Y$36</c:f>
              <c:numCache>
                <c:formatCode>0</c:formatCode>
                <c:ptCount val="5"/>
                <c:pt idx="0">
                  <c:v>2018</c:v>
                </c:pt>
                <c:pt idx="1">
                  <c:v>2019</c:v>
                </c:pt>
                <c:pt idx="2">
                  <c:v>2020</c:v>
                </c:pt>
                <c:pt idx="3">
                  <c:v>2021</c:v>
                </c:pt>
                <c:pt idx="4">
                  <c:v>2022</c:v>
                </c:pt>
              </c:numCache>
            </c:numRef>
          </c:cat>
          <c:val>
            <c:numRef>
              <c:f>'Dinámica de la deuda'!$U$45:$Y$45</c:f>
              <c:numCache>
                <c:formatCode>0.0%</c:formatCode>
                <c:ptCount val="5"/>
                <c:pt idx="0">
                  <c:v>1.2098700881695013E-3</c:v>
                </c:pt>
                <c:pt idx="1">
                  <c:v>3.559067437964071E-2</c:v>
                </c:pt>
                <c:pt idx="2">
                  <c:v>-1.6736254796593075E-2</c:v>
                </c:pt>
                <c:pt idx="3">
                  <c:v>-3.6089444237339041E-3</c:v>
                </c:pt>
                <c:pt idx="4">
                  <c:v>-1.3136250265860419E-2</c:v>
                </c:pt>
              </c:numCache>
            </c:numRef>
          </c:val>
          <c:extLst>
            <c:ext xmlns:c16="http://schemas.microsoft.com/office/drawing/2014/chart" uri="{C3380CC4-5D6E-409C-BE32-E72D297353CC}">
              <c16:uniqueId val="{0000000D-B7FD-4940-B390-B1039D840974}"/>
            </c:ext>
          </c:extLst>
        </c:ser>
        <c:dLbls>
          <c:showLegendKey val="0"/>
          <c:showVal val="0"/>
          <c:showCatName val="0"/>
          <c:showSerName val="0"/>
          <c:showPercent val="0"/>
          <c:showBubbleSize val="0"/>
        </c:dLbls>
        <c:gapWidth val="30"/>
        <c:overlap val="100"/>
        <c:axId val="1217980096"/>
        <c:axId val="1244694672"/>
      </c:barChart>
      <c:lineChart>
        <c:grouping val="standard"/>
        <c:varyColors val="0"/>
        <c:ser>
          <c:idx val="0"/>
          <c:order val="0"/>
          <c:tx>
            <c:strRef>
              <c:f>'Dinámica de la deuda'!$A$37</c:f>
              <c:strCache>
                <c:ptCount val="1"/>
                <c:pt idx="0">
                  <c:v>Variación total de la deuda</c:v>
                </c:pt>
              </c:strCache>
            </c:strRef>
          </c:tx>
          <c:spPr>
            <a:ln w="22225" cap="rnd">
              <a:solidFill>
                <a:schemeClr val="tx2"/>
              </a:solidFill>
              <a:round/>
            </a:ln>
            <a:effectLst/>
          </c:spPr>
          <c:marker>
            <c:symbol val="square"/>
            <c:size val="5"/>
            <c:spPr>
              <a:solidFill>
                <a:schemeClr val="accent1"/>
              </a:solidFill>
              <a:ln w="9525">
                <a:solidFill>
                  <a:schemeClr val="accent1"/>
                </a:solidFill>
              </a:ln>
              <a:effectLst/>
            </c:spPr>
          </c:marker>
          <c:val>
            <c:numRef>
              <c:f>'Dinámica de la deuda'!$U$37:$Y$37</c:f>
              <c:numCache>
                <c:formatCode>0.0%</c:formatCode>
                <c:ptCount val="5"/>
                <c:pt idx="0">
                  <c:v>2.558171269463699E-2</c:v>
                </c:pt>
                <c:pt idx="1">
                  <c:v>2.0456020054294369E-2</c:v>
                </c:pt>
                <c:pt idx="2">
                  <c:v>0.12312107693976593</c:v>
                </c:pt>
                <c:pt idx="3">
                  <c:v>-6.46327985702591E-3</c:v>
                </c:pt>
                <c:pt idx="4">
                  <c:v>-2.1116372195044732E-2</c:v>
                </c:pt>
              </c:numCache>
            </c:numRef>
          </c:val>
          <c:smooth val="0"/>
          <c:extLst>
            <c:ext xmlns:c16="http://schemas.microsoft.com/office/drawing/2014/chart" uri="{C3380CC4-5D6E-409C-BE32-E72D297353CC}">
              <c16:uniqueId val="{0000000E-B7FD-4940-B390-B1039D840974}"/>
            </c:ext>
          </c:extLst>
        </c:ser>
        <c:dLbls>
          <c:showLegendKey val="0"/>
          <c:showVal val="0"/>
          <c:showCatName val="0"/>
          <c:showSerName val="0"/>
          <c:showPercent val="0"/>
          <c:showBubbleSize val="0"/>
        </c:dLbls>
        <c:marker val="1"/>
        <c:smooth val="0"/>
        <c:axId val="1217980096"/>
        <c:axId val="1244694672"/>
      </c:lineChart>
      <c:catAx>
        <c:axId val="1217980096"/>
        <c:scaling>
          <c:orientation val="minMax"/>
        </c:scaling>
        <c:delete val="0"/>
        <c:axPos val="b"/>
        <c:numFmt formatCode="0"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rgbClr val="003E6B"/>
                </a:solidFill>
                <a:latin typeface="Helvetica" pitchFamily="2" charset="0"/>
                <a:ea typeface="+mn-ea"/>
                <a:cs typeface="+mn-cs"/>
              </a:defRPr>
            </a:pPr>
            <a:endParaRPr lang="en-CO"/>
          </a:p>
        </c:txPr>
        <c:crossAx val="1244694672"/>
        <c:crosses val="autoZero"/>
        <c:auto val="1"/>
        <c:lblAlgn val="ctr"/>
        <c:lblOffset val="100"/>
        <c:noMultiLvlLbl val="0"/>
      </c:catAx>
      <c:valAx>
        <c:axId val="1244694672"/>
        <c:scaling>
          <c:orientation val="minMax"/>
          <c:max val="0.16"/>
          <c:min val="-0.13"/>
        </c:scaling>
        <c:delete val="1"/>
        <c:axPos val="l"/>
        <c:numFmt formatCode="0.0%" sourceLinked="1"/>
        <c:majorTickMark val="out"/>
        <c:minorTickMark val="none"/>
        <c:tickLblPos val="nextTo"/>
        <c:crossAx val="1217980096"/>
        <c:crosses val="autoZero"/>
        <c:crossBetween val="between"/>
      </c:valAx>
      <c:spPr>
        <a:noFill/>
        <a:ln>
          <a:noFill/>
        </a:ln>
        <a:effectLst/>
      </c:spPr>
    </c:plotArea>
    <c:legend>
      <c:legendPos val="b"/>
      <c:legendEntry>
        <c:idx val="7"/>
        <c:txPr>
          <a:bodyPr rot="0" spcFirstLastPara="1" vertOverflow="ellipsis" vert="horz" wrap="square" anchor="ctr" anchorCtr="1"/>
          <a:lstStyle/>
          <a:p>
            <a:pPr>
              <a:defRPr sz="1400" b="1" i="0" u="none" strike="noStrike" kern="1200" baseline="0">
                <a:solidFill>
                  <a:srgbClr val="003E6B"/>
                </a:solidFill>
                <a:latin typeface="Helvetica" pitchFamily="2" charset="0"/>
                <a:ea typeface="+mn-ea"/>
                <a:cs typeface="+mn-cs"/>
              </a:defRPr>
            </a:pPr>
            <a:endParaRPr lang="en-CO"/>
          </a:p>
        </c:txPr>
      </c:legendEntry>
      <c:layout>
        <c:manualLayout>
          <c:xMode val="edge"/>
          <c:yMode val="edge"/>
          <c:x val="1.0610544701828963E-2"/>
          <c:y val="0.80230856807656259"/>
          <c:w val="0.97908539898713898"/>
          <c:h val="0.18347418113673078"/>
        </c:manualLayout>
      </c:layout>
      <c:overlay val="0"/>
      <c:spPr>
        <a:noFill/>
        <a:ln>
          <a:noFill/>
        </a:ln>
        <a:effectLst/>
      </c:spPr>
      <c:txPr>
        <a:bodyPr rot="0" spcFirstLastPara="1" vertOverflow="ellipsis" vert="horz" wrap="square" anchor="ctr" anchorCtr="1"/>
        <a:lstStyle/>
        <a:p>
          <a:pPr>
            <a:defRPr sz="1200" b="0" i="0" u="none" strike="noStrike" kern="1200" baseline="0">
              <a:solidFill>
                <a:srgbClr val="003E6B"/>
              </a:solidFill>
              <a:latin typeface="Helvetica" pitchFamily="2" charset="0"/>
              <a:ea typeface="+mn-ea"/>
              <a:cs typeface="+mn-cs"/>
            </a:defRPr>
          </a:pPr>
          <a:endParaRPr lang="en-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rgbClr val="003E6B"/>
          </a:solidFill>
          <a:latin typeface="Helvetica" pitchFamily="2" charset="0"/>
        </a:defRPr>
      </a:pPr>
      <a:endParaRPr lang="en-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7.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2365375</xdr:colOff>
      <xdr:row>6</xdr:row>
      <xdr:rowOff>88141</xdr:rowOff>
    </xdr:to>
    <xdr:pic>
      <xdr:nvPicPr>
        <xdr:cNvPr id="2" name="Imagen 1">
          <a:extLst>
            <a:ext uri="{FF2B5EF4-FFF2-40B4-BE49-F238E27FC236}">
              <a16:creationId xmlns:a16="http://schemas.microsoft.com/office/drawing/2014/main" id="{A57D888B-3035-4ADD-B826-2DED62348309}"/>
            </a:ext>
          </a:extLst>
        </xdr:cNvPr>
        <xdr:cNvPicPr>
          <a:picLocks noChangeAspect="1"/>
        </xdr:cNvPicPr>
      </xdr:nvPicPr>
      <xdr:blipFill>
        <a:blip xmlns:r="http://schemas.openxmlformats.org/officeDocument/2006/relationships" r:embed="rId1">
          <a:duotone>
            <a:schemeClr val="accent5">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2365375" cy="13263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536221</xdr:colOff>
      <xdr:row>18</xdr:row>
      <xdr:rowOff>98778</xdr:rowOff>
    </xdr:from>
    <xdr:to>
      <xdr:col>13</xdr:col>
      <xdr:colOff>166510</xdr:colOff>
      <xdr:row>31</xdr:row>
      <xdr:rowOff>33531</xdr:rowOff>
    </xdr:to>
    <xdr:pic>
      <xdr:nvPicPr>
        <xdr:cNvPr id="2" name="Picture 1">
          <a:extLst>
            <a:ext uri="{FF2B5EF4-FFF2-40B4-BE49-F238E27FC236}">
              <a16:creationId xmlns:a16="http://schemas.microsoft.com/office/drawing/2014/main" id="{B35A82AE-7398-18C2-5D62-236B2526566F}"/>
            </a:ext>
          </a:extLst>
        </xdr:cNvPr>
        <xdr:cNvPicPr>
          <a:picLocks noChangeAspect="1"/>
        </xdr:cNvPicPr>
      </xdr:nvPicPr>
      <xdr:blipFill>
        <a:blip xmlns:r="http://schemas.openxmlformats.org/officeDocument/2006/relationships" r:embed="rId1"/>
        <a:stretch>
          <a:fillRect/>
        </a:stretch>
      </xdr:blipFill>
      <xdr:spPr>
        <a:xfrm>
          <a:off x="3231443" y="6110111"/>
          <a:ext cx="7772400" cy="2502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141111</xdr:colOff>
      <xdr:row>13</xdr:row>
      <xdr:rowOff>0</xdr:rowOff>
    </xdr:from>
    <xdr:to>
      <xdr:col>9</xdr:col>
      <xdr:colOff>747889</xdr:colOff>
      <xdr:row>16</xdr:row>
      <xdr:rowOff>84667</xdr:rowOff>
    </xdr:to>
    <xdr:cxnSp macro="">
      <xdr:nvCxnSpPr>
        <xdr:cNvPr id="3" name="Straight Arrow Connector 2">
          <a:extLst>
            <a:ext uri="{FF2B5EF4-FFF2-40B4-BE49-F238E27FC236}">
              <a16:creationId xmlns:a16="http://schemas.microsoft.com/office/drawing/2014/main" id="{F2D8E77B-9555-5B1E-6CE6-A44E748FFA1E}"/>
            </a:ext>
          </a:extLst>
        </xdr:cNvPr>
        <xdr:cNvCxnSpPr/>
      </xdr:nvCxnSpPr>
      <xdr:spPr>
        <a:xfrm>
          <a:off x="11147778" y="3499556"/>
          <a:ext cx="606778" cy="677333"/>
        </a:xfrm>
        <a:prstGeom prst="straightConnector1">
          <a:avLst/>
        </a:prstGeom>
        <a:ln w="19050">
          <a:solidFill>
            <a:schemeClr val="accent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124177</xdr:colOff>
      <xdr:row>25</xdr:row>
      <xdr:rowOff>39511</xdr:rowOff>
    </xdr:from>
    <xdr:to>
      <xdr:col>9</xdr:col>
      <xdr:colOff>730955</xdr:colOff>
      <xdr:row>28</xdr:row>
      <xdr:rowOff>110066</xdr:rowOff>
    </xdr:to>
    <xdr:cxnSp macro="">
      <xdr:nvCxnSpPr>
        <xdr:cNvPr id="4" name="Straight Arrow Connector 3">
          <a:extLst>
            <a:ext uri="{FF2B5EF4-FFF2-40B4-BE49-F238E27FC236}">
              <a16:creationId xmlns:a16="http://schemas.microsoft.com/office/drawing/2014/main" id="{9ED7E4C0-5FAE-0A41-8711-F13B3C22E6B1}"/>
            </a:ext>
          </a:extLst>
        </xdr:cNvPr>
        <xdr:cNvCxnSpPr/>
      </xdr:nvCxnSpPr>
      <xdr:spPr>
        <a:xfrm flipV="1">
          <a:off x="11130844" y="5909733"/>
          <a:ext cx="606778" cy="677333"/>
        </a:xfrm>
        <a:prstGeom prst="straightConnector1">
          <a:avLst/>
        </a:prstGeom>
        <a:ln w="19050">
          <a:solidFill>
            <a:schemeClr val="accent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42333</xdr:colOff>
      <xdr:row>32</xdr:row>
      <xdr:rowOff>112889</xdr:rowOff>
    </xdr:from>
    <xdr:to>
      <xdr:col>13</xdr:col>
      <xdr:colOff>776111</xdr:colOff>
      <xdr:row>32</xdr:row>
      <xdr:rowOff>112889</xdr:rowOff>
    </xdr:to>
    <xdr:cxnSp macro="">
      <xdr:nvCxnSpPr>
        <xdr:cNvPr id="3" name="Straight Arrow Connector 2">
          <a:extLst>
            <a:ext uri="{FF2B5EF4-FFF2-40B4-BE49-F238E27FC236}">
              <a16:creationId xmlns:a16="http://schemas.microsoft.com/office/drawing/2014/main" id="{F8AC6454-2D1F-4442-2BD5-23C1EA72A56A}"/>
            </a:ext>
          </a:extLst>
        </xdr:cNvPr>
        <xdr:cNvCxnSpPr/>
      </xdr:nvCxnSpPr>
      <xdr:spPr>
        <a:xfrm>
          <a:off x="13123333" y="6589889"/>
          <a:ext cx="733778" cy="0"/>
        </a:xfrm>
        <a:prstGeom prst="straightConnector1">
          <a:avLst/>
        </a:prstGeom>
        <a:ln w="19050">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37</xdr:row>
      <xdr:rowOff>127000</xdr:rowOff>
    </xdr:from>
    <xdr:to>
      <xdr:col>13</xdr:col>
      <xdr:colOff>776111</xdr:colOff>
      <xdr:row>38</xdr:row>
      <xdr:rowOff>28223</xdr:rowOff>
    </xdr:to>
    <xdr:cxnSp macro="">
      <xdr:nvCxnSpPr>
        <xdr:cNvPr id="4" name="Straight Arrow Connector 3">
          <a:extLst>
            <a:ext uri="{FF2B5EF4-FFF2-40B4-BE49-F238E27FC236}">
              <a16:creationId xmlns:a16="http://schemas.microsoft.com/office/drawing/2014/main" id="{71DAE7F1-E34A-E74A-BDE3-33905B516987}"/>
            </a:ext>
          </a:extLst>
        </xdr:cNvPr>
        <xdr:cNvCxnSpPr/>
      </xdr:nvCxnSpPr>
      <xdr:spPr>
        <a:xfrm>
          <a:off x="13081000" y="7591778"/>
          <a:ext cx="776111" cy="98778"/>
        </a:xfrm>
        <a:prstGeom prst="straightConnector1">
          <a:avLst/>
        </a:prstGeom>
        <a:ln w="19050">
          <a:solidFill>
            <a:srgbClr val="C0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42333</xdr:colOff>
      <xdr:row>33</xdr:row>
      <xdr:rowOff>84666</xdr:rowOff>
    </xdr:from>
    <xdr:to>
      <xdr:col>13</xdr:col>
      <xdr:colOff>762000</xdr:colOff>
      <xdr:row>37</xdr:row>
      <xdr:rowOff>155222</xdr:rowOff>
    </xdr:to>
    <xdr:cxnSp macro="">
      <xdr:nvCxnSpPr>
        <xdr:cNvPr id="5" name="Straight Arrow Connector 4">
          <a:extLst>
            <a:ext uri="{FF2B5EF4-FFF2-40B4-BE49-F238E27FC236}">
              <a16:creationId xmlns:a16="http://schemas.microsoft.com/office/drawing/2014/main" id="{5E9BB9C5-3FDE-0F47-9B38-478443F3043C}"/>
            </a:ext>
          </a:extLst>
        </xdr:cNvPr>
        <xdr:cNvCxnSpPr/>
      </xdr:nvCxnSpPr>
      <xdr:spPr>
        <a:xfrm>
          <a:off x="13123333" y="6759222"/>
          <a:ext cx="719667" cy="860778"/>
        </a:xfrm>
        <a:prstGeom prst="straightConnector1">
          <a:avLst/>
        </a:prstGeom>
        <a:ln w="19050">
          <a:solidFill>
            <a:srgbClr val="C0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33</xdr:row>
      <xdr:rowOff>28222</xdr:rowOff>
    </xdr:from>
    <xdr:to>
      <xdr:col>13</xdr:col>
      <xdr:colOff>762000</xdr:colOff>
      <xdr:row>36</xdr:row>
      <xdr:rowOff>127000</xdr:rowOff>
    </xdr:to>
    <xdr:cxnSp macro="">
      <xdr:nvCxnSpPr>
        <xdr:cNvPr id="6" name="Straight Arrow Connector 5">
          <a:extLst>
            <a:ext uri="{FF2B5EF4-FFF2-40B4-BE49-F238E27FC236}">
              <a16:creationId xmlns:a16="http://schemas.microsoft.com/office/drawing/2014/main" id="{41685BF7-F476-934E-A550-FAC32A7EE9BE}"/>
            </a:ext>
          </a:extLst>
        </xdr:cNvPr>
        <xdr:cNvCxnSpPr/>
      </xdr:nvCxnSpPr>
      <xdr:spPr>
        <a:xfrm flipV="1">
          <a:off x="13081000" y="6702778"/>
          <a:ext cx="762000" cy="691444"/>
        </a:xfrm>
        <a:prstGeom prst="straightConnector1">
          <a:avLst/>
        </a:prstGeom>
        <a:ln w="19050">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381000</xdr:colOff>
      <xdr:row>22</xdr:row>
      <xdr:rowOff>33262</xdr:rowOff>
    </xdr:from>
    <xdr:to>
      <xdr:col>26</xdr:col>
      <xdr:colOff>387156</xdr:colOff>
      <xdr:row>43</xdr:row>
      <xdr:rowOff>193306</xdr:rowOff>
    </xdr:to>
    <xdr:graphicFrame macro="">
      <xdr:nvGraphicFramePr>
        <xdr:cNvPr id="3" name="Chart 2">
          <a:extLst>
            <a:ext uri="{FF2B5EF4-FFF2-40B4-BE49-F238E27FC236}">
              <a16:creationId xmlns:a16="http://schemas.microsoft.com/office/drawing/2014/main" id="{C653ED48-3F65-9742-8DEE-8786AC0DB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71361</xdr:colOff>
      <xdr:row>22</xdr:row>
      <xdr:rowOff>8062</xdr:rowOff>
    </xdr:from>
    <xdr:to>
      <xdr:col>39</xdr:col>
      <xdr:colOff>802828</xdr:colOff>
      <xdr:row>43</xdr:row>
      <xdr:rowOff>168107</xdr:rowOff>
    </xdr:to>
    <xdr:graphicFrame macro="">
      <xdr:nvGraphicFramePr>
        <xdr:cNvPr id="5" name="Chart 3">
          <a:extLst>
            <a:ext uri="{FF2B5EF4-FFF2-40B4-BE49-F238E27FC236}">
              <a16:creationId xmlns:a16="http://schemas.microsoft.com/office/drawing/2014/main" id="{5EC3FD7B-BDE4-43CE-B051-5AED92650A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228600</xdr:colOff>
      <xdr:row>47</xdr:row>
      <xdr:rowOff>84318</xdr:rowOff>
    </xdr:from>
    <xdr:to>
      <xdr:col>26</xdr:col>
      <xdr:colOff>189600</xdr:colOff>
      <xdr:row>68</xdr:row>
      <xdr:rowOff>149818</xdr:rowOff>
    </xdr:to>
    <xdr:graphicFrame macro="">
      <xdr:nvGraphicFramePr>
        <xdr:cNvPr id="2" name="Chart 1">
          <a:extLst>
            <a:ext uri="{FF2B5EF4-FFF2-40B4-BE49-F238E27FC236}">
              <a16:creationId xmlns:a16="http://schemas.microsoft.com/office/drawing/2014/main" id="{A9867D52-DC9B-314D-96EE-A594C68A5D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198609</xdr:colOff>
      <xdr:row>47</xdr:row>
      <xdr:rowOff>56155</xdr:rowOff>
    </xdr:from>
    <xdr:to>
      <xdr:col>40</xdr:col>
      <xdr:colOff>58009</xdr:colOff>
      <xdr:row>68</xdr:row>
      <xdr:rowOff>108955</xdr:rowOff>
    </xdr:to>
    <xdr:graphicFrame macro="">
      <xdr:nvGraphicFramePr>
        <xdr:cNvPr id="6" name="Chart 5">
          <a:extLst>
            <a:ext uri="{FF2B5EF4-FFF2-40B4-BE49-F238E27FC236}">
              <a16:creationId xmlns:a16="http://schemas.microsoft.com/office/drawing/2014/main" id="{4148DCE5-5DF3-3F44-9546-D78FCD60F9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47</xdr:row>
      <xdr:rowOff>47978</xdr:rowOff>
    </xdr:from>
    <xdr:to>
      <xdr:col>11</xdr:col>
      <xdr:colOff>101599</xdr:colOff>
      <xdr:row>69</xdr:row>
      <xdr:rowOff>38690</xdr:rowOff>
    </xdr:to>
    <xdr:graphicFrame macro="">
      <xdr:nvGraphicFramePr>
        <xdr:cNvPr id="4" name="Chart 3">
          <a:extLst>
            <a:ext uri="{FF2B5EF4-FFF2-40B4-BE49-F238E27FC236}">
              <a16:creationId xmlns:a16="http://schemas.microsoft.com/office/drawing/2014/main" id="{42FDFD9A-F99C-EF26-990D-19F17CE363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22</xdr:row>
      <xdr:rowOff>0</xdr:rowOff>
    </xdr:from>
    <xdr:to>
      <xdr:col>11</xdr:col>
      <xdr:colOff>135467</xdr:colOff>
      <xdr:row>43</xdr:row>
      <xdr:rowOff>192400</xdr:rowOff>
    </xdr:to>
    <xdr:graphicFrame macro="">
      <xdr:nvGraphicFramePr>
        <xdr:cNvPr id="8" name="Chart 3">
          <a:extLst>
            <a:ext uri="{FF2B5EF4-FFF2-40B4-BE49-F238E27FC236}">
              <a16:creationId xmlns:a16="http://schemas.microsoft.com/office/drawing/2014/main" id="{2F5BC18F-7291-2042-AE93-21EC89E046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0.66149</cdr:x>
      <cdr:y>0.125</cdr:y>
    </cdr:from>
    <cdr:to>
      <cdr:x>0.98422</cdr:x>
      <cdr:y>0.82372</cdr:y>
    </cdr:to>
    <cdr:sp macro="" textlink="">
      <cdr:nvSpPr>
        <cdr:cNvPr id="2" name="Rectángulo 1">
          <a:extLst xmlns:a="http://schemas.openxmlformats.org/drawingml/2006/main">
            <a:ext uri="{FF2B5EF4-FFF2-40B4-BE49-F238E27FC236}">
              <a16:creationId xmlns:a16="http://schemas.microsoft.com/office/drawing/2014/main" id="{B9A500ED-F862-07D2-BACC-4D872D100331}"/>
            </a:ext>
          </a:extLst>
        </cdr:cNvPr>
        <cdr:cNvSpPr/>
      </cdr:nvSpPr>
      <cdr:spPr>
        <a:xfrm xmlns:a="http://schemas.openxmlformats.org/drawingml/2006/main">
          <a:off x="5207000" y="516188"/>
          <a:ext cx="2540405" cy="2885364"/>
        </a:xfrm>
        <a:prstGeom xmlns:a="http://schemas.openxmlformats.org/drawingml/2006/main" prst="rect">
          <a:avLst/>
        </a:prstGeom>
        <a:noFill xmlns:a="http://schemas.openxmlformats.org/drawingml/2006/main"/>
        <a:ln xmlns:a="http://schemas.openxmlformats.org/drawingml/2006/main" w="19050">
          <a:solidFill>
            <a:srgbClr val="C00000"/>
          </a:solidFill>
          <a:prstDash val="dash"/>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CO"/>
        </a:p>
      </cdr:txBody>
    </cdr:sp>
  </cdr:relSizeAnchor>
</c:userShapes>
</file>

<file path=xl/drawings/drawing7.xml><?xml version="1.0" encoding="utf-8"?>
<xdr:wsDr xmlns:xdr="http://schemas.openxmlformats.org/drawingml/2006/spreadsheetDrawing" xmlns:a="http://schemas.openxmlformats.org/drawingml/2006/main">
  <xdr:oneCellAnchor>
    <xdr:from>
      <xdr:col>0</xdr:col>
      <xdr:colOff>297744</xdr:colOff>
      <xdr:row>4</xdr:row>
      <xdr:rowOff>64910</xdr:rowOff>
    </xdr:from>
    <xdr:ext cx="10342034" cy="451919"/>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C944A33-0866-F76F-9EF2-BA655CE04C76}"/>
                </a:ext>
              </a:extLst>
            </xdr:cNvPr>
            <xdr:cNvSpPr txBox="1"/>
          </xdr:nvSpPr>
          <xdr:spPr>
            <a:xfrm>
              <a:off x="297744" y="1123243"/>
              <a:ext cx="10342034" cy="451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en-US" sz="1800" b="0" i="1">
                          <a:latin typeface="Cambria Math" panose="02040503050406030204" pitchFamily="18" charset="0"/>
                        </a:rPr>
                      </m:ctrlPr>
                    </m:sSubPr>
                    <m:e>
                      <m:r>
                        <a:rPr lang="en-US" sz="1800" b="0" i="1">
                          <a:latin typeface="Cambria Math" panose="02040503050406030204" pitchFamily="18" charset="0"/>
                        </a:rPr>
                        <m:t>𝑑</m:t>
                      </m:r>
                    </m:e>
                    <m:sub>
                      <m:r>
                        <a:rPr lang="en-US" sz="1800" b="0" i="1">
                          <a:latin typeface="Cambria Math" panose="02040503050406030204" pitchFamily="18" charset="0"/>
                        </a:rPr>
                        <m:t>𝑡</m:t>
                      </m:r>
                    </m:sub>
                  </m:sSub>
                  <m:r>
                    <a:rPr lang="en-US" sz="1800" b="0" i="1">
                      <a:latin typeface="Cambria Math" panose="02040503050406030204" pitchFamily="18" charset="0"/>
                    </a:rPr>
                    <m:t>−</m:t>
                  </m:r>
                  <m:sSub>
                    <m:sSubPr>
                      <m:ctrlPr>
                        <a:rPr lang="en-US" sz="1800" b="0" i="1">
                          <a:latin typeface="Cambria Math" panose="02040503050406030204" pitchFamily="18" charset="0"/>
                        </a:rPr>
                      </m:ctrlPr>
                    </m:sSubPr>
                    <m:e>
                      <m:r>
                        <a:rPr lang="en-US" sz="1800" b="0" i="1">
                          <a:latin typeface="Cambria Math" panose="02040503050406030204" pitchFamily="18" charset="0"/>
                        </a:rPr>
                        <m:t>𝑑</m:t>
                      </m:r>
                    </m:e>
                    <m:sub>
                      <m:r>
                        <a:rPr lang="en-US" sz="1800" b="0" i="1">
                          <a:latin typeface="Cambria Math" panose="02040503050406030204" pitchFamily="18" charset="0"/>
                        </a:rPr>
                        <m:t>𝑡</m:t>
                      </m:r>
                      <m:r>
                        <a:rPr lang="en-US" sz="1800" b="0" i="1">
                          <a:latin typeface="Cambria Math" panose="02040503050406030204" pitchFamily="18" charset="0"/>
                        </a:rPr>
                        <m:t>−1</m:t>
                      </m:r>
                    </m:sub>
                  </m:sSub>
                  <m:r>
                    <a:rPr lang="en-US" sz="1800" b="0" i="1">
                      <a:latin typeface="Cambria Math" panose="02040503050406030204" pitchFamily="18" charset="0"/>
                    </a:rPr>
                    <m:t>=</m:t>
                  </m:r>
                  <m:f>
                    <m:fPr>
                      <m:ctrlPr>
                        <a:rPr lang="en-US" sz="1800" i="1">
                          <a:latin typeface="Cambria Math" panose="02040503050406030204" pitchFamily="18" charset="0"/>
                        </a:rPr>
                      </m:ctrlPr>
                    </m:fPr>
                    <m:num>
                      <m:sSub>
                        <m:sSubPr>
                          <m:ctrlPr>
                            <a:rPr lang="en-US" sz="1800" i="1">
                              <a:latin typeface="Cambria Math" panose="02040503050406030204" pitchFamily="18" charset="0"/>
                            </a:rPr>
                          </m:ctrlPr>
                        </m:sSubPr>
                        <m:e>
                          <m:r>
                            <a:rPr lang="en-US" sz="1800" b="0" i="1">
                              <a:latin typeface="Cambria Math" panose="02040503050406030204" pitchFamily="18" charset="0"/>
                            </a:rPr>
                            <m:t>𝑖</m:t>
                          </m:r>
                        </m:e>
                        <m:sub>
                          <m:r>
                            <a:rPr lang="en-US" sz="1800" b="0" i="1">
                              <a:latin typeface="Cambria Math" panose="02040503050406030204" pitchFamily="18" charset="0"/>
                            </a:rPr>
                            <m:t>𝑡</m:t>
                          </m:r>
                        </m:sub>
                      </m:sSub>
                    </m:num>
                    <m:den>
                      <m:d>
                        <m:dPr>
                          <m:ctrlPr>
                            <a:rPr lang="en-US" sz="1800" b="0" i="1">
                              <a:latin typeface="Cambria Math" panose="02040503050406030204" pitchFamily="18" charset="0"/>
                            </a:rPr>
                          </m:ctrlPr>
                        </m:dPr>
                        <m:e>
                          <m:r>
                            <a:rPr lang="en-US" sz="1800" b="0" i="1">
                              <a:latin typeface="Cambria Math" panose="02040503050406030204" pitchFamily="18" charset="0"/>
                            </a:rPr>
                            <m:t>1+</m:t>
                          </m:r>
                          <m:sSub>
                            <m:sSubPr>
                              <m:ctrlPr>
                                <a:rPr lang="en-US" sz="1800" b="0" i="1">
                                  <a:latin typeface="Cambria Math" panose="02040503050406030204" pitchFamily="18" charset="0"/>
                                </a:rPr>
                              </m:ctrlPr>
                            </m:sSubPr>
                            <m:e>
                              <m:r>
                                <a:rPr lang="en-US" sz="1800" b="0" i="1">
                                  <a:latin typeface="Cambria Math" panose="02040503050406030204" pitchFamily="18" charset="0"/>
                                </a:rPr>
                                <m:t>𝑔</m:t>
                              </m:r>
                            </m:e>
                            <m:sub>
                              <m:r>
                                <a:rPr lang="en-US" sz="1800" b="0" i="1">
                                  <a:latin typeface="Cambria Math" panose="02040503050406030204" pitchFamily="18" charset="0"/>
                                </a:rPr>
                                <m:t>𝑡</m:t>
                              </m:r>
                            </m:sub>
                          </m:sSub>
                        </m:e>
                      </m:d>
                      <m:d>
                        <m:dPr>
                          <m:ctrlPr>
                            <a:rPr lang="en-US" sz="1800" b="0" i="1">
                              <a:latin typeface="Cambria Math" panose="02040503050406030204" pitchFamily="18" charset="0"/>
                            </a:rPr>
                          </m:ctrlPr>
                        </m:dPr>
                        <m:e>
                          <m:r>
                            <a:rPr lang="en-US" sz="1800" b="0" i="1">
                              <a:latin typeface="Cambria Math" panose="02040503050406030204" pitchFamily="18" charset="0"/>
                            </a:rPr>
                            <m:t>1+</m:t>
                          </m:r>
                          <m:sSub>
                            <m:sSubPr>
                              <m:ctrlPr>
                                <a:rPr lang="en-US" sz="1800" b="0" i="1">
                                  <a:latin typeface="Cambria Math" panose="02040503050406030204" pitchFamily="18" charset="0"/>
                                </a:rPr>
                              </m:ctrlPr>
                            </m:sSubPr>
                            <m:e>
                              <m:r>
                                <a:rPr lang="en-US" sz="1800" b="0" i="1">
                                  <a:latin typeface="Cambria Math" panose="02040503050406030204" pitchFamily="18" charset="0"/>
                                  <a:ea typeface="Cambria Math" panose="02040503050406030204" pitchFamily="18" charset="0"/>
                                </a:rPr>
                                <m:t>𝜋</m:t>
                              </m:r>
                            </m:e>
                            <m:sub>
                              <m:r>
                                <a:rPr lang="en-US" sz="1800" b="0" i="1">
                                  <a:latin typeface="Cambria Math" panose="02040503050406030204" pitchFamily="18" charset="0"/>
                                </a:rPr>
                                <m:t>𝑡</m:t>
                              </m:r>
                            </m:sub>
                          </m:sSub>
                        </m:e>
                      </m:d>
                    </m:den>
                  </m:f>
                  <m:sSub>
                    <m:sSubPr>
                      <m:ctrlPr>
                        <a:rPr lang="en-US" sz="1800" b="0" i="1">
                          <a:latin typeface="Cambria Math" panose="02040503050406030204" pitchFamily="18" charset="0"/>
                        </a:rPr>
                      </m:ctrlPr>
                    </m:sSubPr>
                    <m:e>
                      <m:r>
                        <a:rPr lang="en-US" sz="1800" b="0" i="1">
                          <a:latin typeface="Cambria Math" panose="02040503050406030204" pitchFamily="18" charset="0"/>
                        </a:rPr>
                        <m:t>𝑑</m:t>
                      </m:r>
                    </m:e>
                    <m:sub>
                      <m:r>
                        <a:rPr lang="en-US" sz="1800" b="0" i="1">
                          <a:latin typeface="Cambria Math" panose="02040503050406030204" pitchFamily="18" charset="0"/>
                        </a:rPr>
                        <m:t>𝑡</m:t>
                      </m:r>
                      <m:r>
                        <a:rPr lang="en-US" sz="1800" b="0" i="1">
                          <a:latin typeface="Cambria Math" panose="02040503050406030204" pitchFamily="18" charset="0"/>
                        </a:rPr>
                        <m:t>−1</m:t>
                      </m:r>
                    </m:sub>
                  </m:sSub>
                  <m:r>
                    <a:rPr lang="en-US" sz="1800" b="0" i="1">
                      <a:latin typeface="Cambria Math" panose="02040503050406030204" pitchFamily="18" charset="0"/>
                    </a:rPr>
                    <m:t>−</m:t>
                  </m:r>
                  <m:f>
                    <m:fPr>
                      <m:ctrlPr>
                        <a:rPr lang="en-US" sz="1800" i="1">
                          <a:latin typeface="Cambria Math" panose="02040503050406030204" pitchFamily="18" charset="0"/>
                        </a:rPr>
                      </m:ctrlPr>
                    </m:fPr>
                    <m:num>
                      <m:sSub>
                        <m:sSubPr>
                          <m:ctrlPr>
                            <a:rPr lang="en-US" sz="1800" i="1">
                              <a:latin typeface="Cambria Math" panose="02040503050406030204" pitchFamily="18" charset="0"/>
                            </a:rPr>
                          </m:ctrlPr>
                        </m:sSubPr>
                        <m:e>
                          <m:r>
                            <a:rPr lang="en-US" sz="1800" i="1">
                              <a:latin typeface="Cambria Math" panose="02040503050406030204" pitchFamily="18" charset="0"/>
                              <a:ea typeface="Cambria Math" panose="02040503050406030204" pitchFamily="18" charset="0"/>
                            </a:rPr>
                            <m:t>𝜋</m:t>
                          </m:r>
                        </m:e>
                        <m:sub>
                          <m:r>
                            <a:rPr lang="en-US" sz="1800" b="0" i="1">
                              <a:latin typeface="Cambria Math" panose="02040503050406030204" pitchFamily="18" charset="0"/>
                            </a:rPr>
                            <m:t>𝑡</m:t>
                          </m:r>
                        </m:sub>
                      </m:sSub>
                    </m:num>
                    <m:den>
                      <m:d>
                        <m:dPr>
                          <m:ctrlPr>
                            <a:rPr lang="en-US" sz="1800" b="0" i="1">
                              <a:latin typeface="Cambria Math" panose="02040503050406030204" pitchFamily="18" charset="0"/>
                            </a:rPr>
                          </m:ctrlPr>
                        </m:dPr>
                        <m:e>
                          <m:r>
                            <a:rPr lang="en-US" sz="1800" b="0" i="1">
                              <a:latin typeface="Cambria Math" panose="02040503050406030204" pitchFamily="18" charset="0"/>
                            </a:rPr>
                            <m:t>1+</m:t>
                          </m:r>
                          <m:sSub>
                            <m:sSubPr>
                              <m:ctrlPr>
                                <a:rPr lang="en-US" sz="1800" b="0" i="1">
                                  <a:latin typeface="Cambria Math" panose="02040503050406030204" pitchFamily="18" charset="0"/>
                                </a:rPr>
                              </m:ctrlPr>
                            </m:sSubPr>
                            <m:e>
                              <m:r>
                                <a:rPr lang="en-US" sz="1800" b="0" i="1">
                                  <a:latin typeface="Cambria Math" panose="02040503050406030204" pitchFamily="18" charset="0"/>
                                </a:rPr>
                                <m:t>𝑔</m:t>
                              </m:r>
                            </m:e>
                            <m:sub>
                              <m:r>
                                <a:rPr lang="en-US" sz="1800" b="0" i="1">
                                  <a:latin typeface="Cambria Math" panose="02040503050406030204" pitchFamily="18" charset="0"/>
                                </a:rPr>
                                <m:t>𝑡</m:t>
                              </m:r>
                            </m:sub>
                          </m:sSub>
                        </m:e>
                      </m:d>
                      <m:d>
                        <m:dPr>
                          <m:ctrlPr>
                            <a:rPr lang="en-US" sz="1800" b="0" i="1">
                              <a:latin typeface="Cambria Math" panose="02040503050406030204" pitchFamily="18" charset="0"/>
                            </a:rPr>
                          </m:ctrlPr>
                        </m:dPr>
                        <m:e>
                          <m:r>
                            <a:rPr lang="en-US" sz="1800" b="0" i="1">
                              <a:latin typeface="Cambria Math" panose="02040503050406030204" pitchFamily="18" charset="0"/>
                            </a:rPr>
                            <m:t>1+</m:t>
                          </m:r>
                          <m:sSub>
                            <m:sSubPr>
                              <m:ctrlPr>
                                <a:rPr lang="en-US" sz="1800" b="0" i="1">
                                  <a:latin typeface="Cambria Math" panose="02040503050406030204" pitchFamily="18" charset="0"/>
                                </a:rPr>
                              </m:ctrlPr>
                            </m:sSubPr>
                            <m:e>
                              <m:r>
                                <a:rPr lang="en-US" sz="1800" b="0" i="1">
                                  <a:latin typeface="Cambria Math" panose="02040503050406030204" pitchFamily="18" charset="0"/>
                                  <a:ea typeface="Cambria Math" panose="02040503050406030204" pitchFamily="18" charset="0"/>
                                </a:rPr>
                                <m:t>𝜋</m:t>
                              </m:r>
                            </m:e>
                            <m:sub>
                              <m:r>
                                <a:rPr lang="en-US" sz="1800" b="0" i="1">
                                  <a:latin typeface="Cambria Math" panose="02040503050406030204" pitchFamily="18" charset="0"/>
                                </a:rPr>
                                <m:t>𝑡</m:t>
                              </m:r>
                            </m:sub>
                          </m:sSub>
                        </m:e>
                      </m:d>
                    </m:den>
                  </m:f>
                  <m:sSub>
                    <m:sSubPr>
                      <m:ctrlPr>
                        <a:rPr lang="en-US" sz="1800" b="0" i="1">
                          <a:latin typeface="Cambria Math" panose="02040503050406030204" pitchFamily="18" charset="0"/>
                        </a:rPr>
                      </m:ctrlPr>
                    </m:sSubPr>
                    <m:e>
                      <m:r>
                        <a:rPr lang="en-US" sz="1800" b="0" i="1">
                          <a:latin typeface="Cambria Math" panose="02040503050406030204" pitchFamily="18" charset="0"/>
                        </a:rPr>
                        <m:t>𝑑</m:t>
                      </m:r>
                    </m:e>
                    <m:sub>
                      <m:r>
                        <a:rPr lang="en-US" sz="1800" b="0" i="1">
                          <a:latin typeface="Cambria Math" panose="02040503050406030204" pitchFamily="18" charset="0"/>
                        </a:rPr>
                        <m:t>𝑡</m:t>
                      </m:r>
                      <m:r>
                        <a:rPr lang="en-US" sz="1800" b="0" i="1">
                          <a:latin typeface="Cambria Math" panose="02040503050406030204" pitchFamily="18" charset="0"/>
                        </a:rPr>
                        <m:t>−1</m:t>
                      </m:r>
                    </m:sub>
                  </m:sSub>
                </m:oMath>
              </a14:m>
              <a:r>
                <a:rPr lang="en-US" sz="1800"/>
                <a:t>+</a:t>
              </a:r>
              <a14:m>
                <m:oMath xmlns:m="http://schemas.openxmlformats.org/officeDocument/2006/math">
                  <m:f>
                    <m:fPr>
                      <m:ctrlPr>
                        <a:rPr lang="en-US" sz="1800" i="1">
                          <a:latin typeface="Cambria Math" panose="02040503050406030204" pitchFamily="18" charset="0"/>
                        </a:rPr>
                      </m:ctrlPr>
                    </m:fPr>
                    <m:num>
                      <m:sSub>
                        <m:sSubPr>
                          <m:ctrlPr>
                            <a:rPr lang="en-US" sz="1800" i="1">
                              <a:latin typeface="Cambria Math" panose="02040503050406030204" pitchFamily="18" charset="0"/>
                            </a:rPr>
                          </m:ctrlPr>
                        </m:sSubPr>
                        <m:e>
                          <m:r>
                            <a:rPr lang="en-US" sz="1800" i="1">
                              <a:latin typeface="Cambria Math" panose="02040503050406030204" pitchFamily="18" charset="0"/>
                              <a:ea typeface="Cambria Math" panose="02040503050406030204" pitchFamily="18" charset="0"/>
                            </a:rPr>
                            <m:t>∆</m:t>
                          </m:r>
                          <m:r>
                            <a:rPr lang="en-US" sz="1800" b="0" i="1">
                              <a:latin typeface="Cambria Math" panose="02040503050406030204" pitchFamily="18" charset="0"/>
                            </a:rPr>
                            <m:t>𝑒</m:t>
                          </m:r>
                        </m:e>
                        <m:sub>
                          <m:r>
                            <a:rPr lang="en-US" sz="1800" b="0" i="1">
                              <a:latin typeface="Cambria Math" panose="02040503050406030204" pitchFamily="18" charset="0"/>
                            </a:rPr>
                            <m:t>𝑡</m:t>
                          </m:r>
                        </m:sub>
                      </m:sSub>
                    </m:num>
                    <m:den>
                      <m:d>
                        <m:dPr>
                          <m:ctrlPr>
                            <a:rPr lang="en-US" sz="1800" b="0" i="1">
                              <a:latin typeface="Cambria Math" panose="02040503050406030204" pitchFamily="18" charset="0"/>
                            </a:rPr>
                          </m:ctrlPr>
                        </m:dPr>
                        <m:e>
                          <m:r>
                            <a:rPr lang="en-US" sz="1800" b="0" i="1">
                              <a:latin typeface="Cambria Math" panose="02040503050406030204" pitchFamily="18" charset="0"/>
                            </a:rPr>
                            <m:t>1+</m:t>
                          </m:r>
                          <m:sSub>
                            <m:sSubPr>
                              <m:ctrlPr>
                                <a:rPr lang="en-US" sz="1800" b="0" i="1">
                                  <a:latin typeface="Cambria Math" panose="02040503050406030204" pitchFamily="18" charset="0"/>
                                </a:rPr>
                              </m:ctrlPr>
                            </m:sSubPr>
                            <m:e>
                              <m:r>
                                <a:rPr lang="en-US" sz="1800" b="0" i="1">
                                  <a:latin typeface="Cambria Math" panose="02040503050406030204" pitchFamily="18" charset="0"/>
                                </a:rPr>
                                <m:t>𝑔</m:t>
                              </m:r>
                            </m:e>
                            <m:sub>
                              <m:r>
                                <a:rPr lang="en-US" sz="1800" b="0" i="1">
                                  <a:latin typeface="Cambria Math" panose="02040503050406030204" pitchFamily="18" charset="0"/>
                                </a:rPr>
                                <m:t>𝑡</m:t>
                              </m:r>
                            </m:sub>
                          </m:sSub>
                        </m:e>
                      </m:d>
                      <m:d>
                        <m:dPr>
                          <m:ctrlPr>
                            <a:rPr lang="en-US" sz="1800" b="0" i="1">
                              <a:latin typeface="Cambria Math" panose="02040503050406030204" pitchFamily="18" charset="0"/>
                            </a:rPr>
                          </m:ctrlPr>
                        </m:dPr>
                        <m:e>
                          <m:r>
                            <a:rPr lang="en-US" sz="1800" b="0" i="1">
                              <a:latin typeface="Cambria Math" panose="02040503050406030204" pitchFamily="18" charset="0"/>
                            </a:rPr>
                            <m:t>1+</m:t>
                          </m:r>
                          <m:sSub>
                            <m:sSubPr>
                              <m:ctrlPr>
                                <a:rPr lang="en-US" sz="1800" b="0" i="1">
                                  <a:latin typeface="Cambria Math" panose="02040503050406030204" pitchFamily="18" charset="0"/>
                                </a:rPr>
                              </m:ctrlPr>
                            </m:sSubPr>
                            <m:e>
                              <m:r>
                                <a:rPr lang="en-US" sz="1800" b="0" i="1">
                                  <a:latin typeface="Cambria Math" panose="02040503050406030204" pitchFamily="18" charset="0"/>
                                  <a:ea typeface="Cambria Math" panose="02040503050406030204" pitchFamily="18" charset="0"/>
                                </a:rPr>
                                <m:t>𝜋</m:t>
                              </m:r>
                            </m:e>
                            <m:sub>
                              <m:r>
                                <a:rPr lang="en-US" sz="1800" b="0" i="1">
                                  <a:latin typeface="Cambria Math" panose="02040503050406030204" pitchFamily="18" charset="0"/>
                                </a:rPr>
                                <m:t>𝑡</m:t>
                              </m:r>
                            </m:sub>
                          </m:sSub>
                        </m:e>
                      </m:d>
                    </m:den>
                  </m:f>
                  <m:sSub>
                    <m:sSubPr>
                      <m:ctrlPr>
                        <a:rPr lang="en-US" sz="1800" b="0" i="1">
                          <a:latin typeface="Cambria Math" panose="02040503050406030204" pitchFamily="18" charset="0"/>
                        </a:rPr>
                      </m:ctrlPr>
                    </m:sSubPr>
                    <m:e>
                      <m:r>
                        <a:rPr lang="en-US" sz="1800" b="0" i="1">
                          <a:latin typeface="Cambria Math" panose="02040503050406030204" pitchFamily="18" charset="0"/>
                          <a:ea typeface="Cambria Math" panose="02040503050406030204" pitchFamily="18" charset="0"/>
                        </a:rPr>
                        <m:t>𝛼</m:t>
                      </m:r>
                    </m:e>
                    <m:sub>
                      <m:r>
                        <a:rPr lang="en-US" sz="1800" b="0" i="1">
                          <a:latin typeface="Cambria Math" panose="02040503050406030204" pitchFamily="18" charset="0"/>
                        </a:rPr>
                        <m:t>𝑡</m:t>
                      </m:r>
                      <m:r>
                        <a:rPr lang="en-US" sz="1800" b="0" i="1">
                          <a:latin typeface="Cambria Math" panose="02040503050406030204" pitchFamily="18" charset="0"/>
                        </a:rPr>
                        <m:t>−1</m:t>
                      </m:r>
                    </m:sub>
                  </m:sSub>
                  <m:sSub>
                    <m:sSubPr>
                      <m:ctrlPr>
                        <a:rPr lang="en-US" sz="1800" b="0" i="1">
                          <a:latin typeface="Cambria Math" panose="02040503050406030204" pitchFamily="18" charset="0"/>
                        </a:rPr>
                      </m:ctrlPr>
                    </m:sSubPr>
                    <m:e>
                      <m:r>
                        <a:rPr lang="en-US" sz="1800" b="0" i="1">
                          <a:latin typeface="Cambria Math" panose="02040503050406030204" pitchFamily="18" charset="0"/>
                        </a:rPr>
                        <m:t>𝑑</m:t>
                      </m:r>
                    </m:e>
                    <m:sub>
                      <m:r>
                        <a:rPr lang="en-US" sz="1800" b="0" i="1">
                          <a:latin typeface="Cambria Math" panose="02040503050406030204" pitchFamily="18" charset="0"/>
                        </a:rPr>
                        <m:t>𝑡</m:t>
                      </m:r>
                      <m:r>
                        <a:rPr lang="en-US" sz="1800" b="0" i="1">
                          <a:latin typeface="Cambria Math" panose="02040503050406030204" pitchFamily="18" charset="0"/>
                        </a:rPr>
                        <m:t>−1</m:t>
                      </m:r>
                    </m:sub>
                  </m:sSub>
                  <m:r>
                    <a:rPr lang="en-US" sz="1800" b="0" i="1">
                      <a:latin typeface="Cambria Math" panose="02040503050406030204" pitchFamily="18" charset="0"/>
                    </a:rPr>
                    <m:t>−</m:t>
                  </m:r>
                  <m:f>
                    <m:fPr>
                      <m:ctrlPr>
                        <a:rPr lang="en-US" sz="1800" i="1">
                          <a:latin typeface="Cambria Math" panose="02040503050406030204" pitchFamily="18" charset="0"/>
                        </a:rPr>
                      </m:ctrlPr>
                    </m:fPr>
                    <m:num>
                      <m:sSub>
                        <m:sSubPr>
                          <m:ctrlPr>
                            <a:rPr lang="en-US" sz="1800" i="1">
                              <a:latin typeface="Cambria Math" panose="02040503050406030204" pitchFamily="18" charset="0"/>
                            </a:rPr>
                          </m:ctrlPr>
                        </m:sSubPr>
                        <m:e>
                          <m:r>
                            <a:rPr lang="en-US" sz="1800" b="0" i="1">
                              <a:latin typeface="Cambria Math" panose="02040503050406030204" pitchFamily="18" charset="0"/>
                            </a:rPr>
                            <m:t>𝑔</m:t>
                          </m:r>
                        </m:e>
                        <m:sub>
                          <m:r>
                            <a:rPr lang="en-US" sz="1800" b="0" i="1">
                              <a:latin typeface="Cambria Math" panose="02040503050406030204" pitchFamily="18" charset="0"/>
                            </a:rPr>
                            <m:t>𝑡</m:t>
                          </m:r>
                        </m:sub>
                      </m:sSub>
                    </m:num>
                    <m:den>
                      <m:d>
                        <m:dPr>
                          <m:ctrlPr>
                            <a:rPr lang="en-US" sz="1800" b="0" i="1">
                              <a:latin typeface="Cambria Math" panose="02040503050406030204" pitchFamily="18" charset="0"/>
                            </a:rPr>
                          </m:ctrlPr>
                        </m:dPr>
                        <m:e>
                          <m:r>
                            <a:rPr lang="en-US" sz="1800" b="0" i="1">
                              <a:latin typeface="Cambria Math" panose="02040503050406030204" pitchFamily="18" charset="0"/>
                            </a:rPr>
                            <m:t>1+</m:t>
                          </m:r>
                          <m:sSub>
                            <m:sSubPr>
                              <m:ctrlPr>
                                <a:rPr lang="en-US" sz="1800" b="0" i="1">
                                  <a:latin typeface="Cambria Math" panose="02040503050406030204" pitchFamily="18" charset="0"/>
                                </a:rPr>
                              </m:ctrlPr>
                            </m:sSubPr>
                            <m:e>
                              <m:r>
                                <a:rPr lang="en-US" sz="1800" b="0" i="1">
                                  <a:latin typeface="Cambria Math" panose="02040503050406030204" pitchFamily="18" charset="0"/>
                                </a:rPr>
                                <m:t>𝑔</m:t>
                              </m:r>
                            </m:e>
                            <m:sub>
                              <m:r>
                                <a:rPr lang="en-US" sz="1800" b="0" i="1">
                                  <a:latin typeface="Cambria Math" panose="02040503050406030204" pitchFamily="18" charset="0"/>
                                </a:rPr>
                                <m:t>𝑡</m:t>
                              </m:r>
                            </m:sub>
                          </m:sSub>
                        </m:e>
                      </m:d>
                      <m:d>
                        <m:dPr>
                          <m:ctrlPr>
                            <a:rPr lang="en-US" sz="1800" b="0" i="1">
                              <a:latin typeface="Cambria Math" panose="02040503050406030204" pitchFamily="18" charset="0"/>
                            </a:rPr>
                          </m:ctrlPr>
                        </m:dPr>
                        <m:e>
                          <m:r>
                            <a:rPr lang="en-US" sz="1800" b="0" i="1">
                              <a:latin typeface="Cambria Math" panose="02040503050406030204" pitchFamily="18" charset="0"/>
                            </a:rPr>
                            <m:t>1+</m:t>
                          </m:r>
                          <m:sSub>
                            <m:sSubPr>
                              <m:ctrlPr>
                                <a:rPr lang="en-US" sz="1800" b="0" i="1">
                                  <a:latin typeface="Cambria Math" panose="02040503050406030204" pitchFamily="18" charset="0"/>
                                </a:rPr>
                              </m:ctrlPr>
                            </m:sSubPr>
                            <m:e>
                              <m:r>
                                <a:rPr lang="en-US" sz="1800" b="0" i="1">
                                  <a:latin typeface="Cambria Math" panose="02040503050406030204" pitchFamily="18" charset="0"/>
                                  <a:ea typeface="Cambria Math" panose="02040503050406030204" pitchFamily="18" charset="0"/>
                                </a:rPr>
                                <m:t>𝜋</m:t>
                              </m:r>
                            </m:e>
                            <m:sub>
                              <m:r>
                                <a:rPr lang="en-US" sz="1800" b="0" i="1">
                                  <a:latin typeface="Cambria Math" panose="02040503050406030204" pitchFamily="18" charset="0"/>
                                </a:rPr>
                                <m:t>𝑡</m:t>
                              </m:r>
                            </m:sub>
                          </m:sSub>
                        </m:e>
                      </m:d>
                    </m:den>
                  </m:f>
                  <m:sSub>
                    <m:sSubPr>
                      <m:ctrlPr>
                        <a:rPr lang="en-US" sz="1800" b="0" i="1">
                          <a:latin typeface="Cambria Math" panose="02040503050406030204" pitchFamily="18" charset="0"/>
                        </a:rPr>
                      </m:ctrlPr>
                    </m:sSubPr>
                    <m:e>
                      <m:r>
                        <a:rPr lang="en-US" sz="1800" b="0" i="1">
                          <a:latin typeface="Cambria Math" panose="02040503050406030204" pitchFamily="18" charset="0"/>
                        </a:rPr>
                        <m:t>𝑑</m:t>
                      </m:r>
                    </m:e>
                    <m:sub>
                      <m:r>
                        <a:rPr lang="en-US" sz="1800" b="0" i="1">
                          <a:latin typeface="Cambria Math" panose="02040503050406030204" pitchFamily="18" charset="0"/>
                        </a:rPr>
                        <m:t>𝑡</m:t>
                      </m:r>
                      <m:r>
                        <a:rPr lang="en-US" sz="1800" b="0" i="1">
                          <a:latin typeface="Cambria Math" panose="02040503050406030204" pitchFamily="18" charset="0"/>
                        </a:rPr>
                        <m:t>−1</m:t>
                      </m:r>
                    </m:sub>
                  </m:sSub>
                  <m:r>
                    <a:rPr lang="en-US" sz="1800" b="0" i="1">
                      <a:latin typeface="Cambria Math" panose="02040503050406030204" pitchFamily="18" charset="0"/>
                    </a:rPr>
                    <m:t>−</m:t>
                  </m:r>
                  <m:sSub>
                    <m:sSubPr>
                      <m:ctrlPr>
                        <a:rPr lang="en-US" sz="1800" b="0" i="1">
                          <a:latin typeface="Cambria Math" panose="02040503050406030204" pitchFamily="18" charset="0"/>
                        </a:rPr>
                      </m:ctrlPr>
                    </m:sSubPr>
                    <m:e>
                      <m:r>
                        <a:rPr lang="en-US" sz="1800" b="0" i="1">
                          <a:latin typeface="Cambria Math" panose="02040503050406030204" pitchFamily="18" charset="0"/>
                        </a:rPr>
                        <m:t>𝑏</m:t>
                      </m:r>
                    </m:e>
                    <m:sub>
                      <m:r>
                        <a:rPr lang="en-US" sz="1800" b="0" i="1">
                          <a:latin typeface="Cambria Math" panose="02040503050406030204" pitchFamily="18" charset="0"/>
                        </a:rPr>
                        <m:t>𝑡</m:t>
                      </m:r>
                    </m:sub>
                  </m:sSub>
                  <m:r>
                    <a:rPr lang="en-US" sz="1800" b="0" i="1">
                      <a:latin typeface="Cambria Math" panose="02040503050406030204" pitchFamily="18" charset="0"/>
                    </a:rPr>
                    <m:t>+</m:t>
                  </m:r>
                  <m:sSub>
                    <m:sSubPr>
                      <m:ctrlPr>
                        <a:rPr lang="en-US" sz="1800" b="0" i="1">
                          <a:latin typeface="Cambria Math" panose="02040503050406030204" pitchFamily="18" charset="0"/>
                        </a:rPr>
                      </m:ctrlPr>
                    </m:sSubPr>
                    <m:e>
                      <m:r>
                        <a:rPr lang="en-US" sz="1800" b="0" i="1">
                          <a:latin typeface="Cambria Math" panose="02040503050406030204" pitchFamily="18" charset="0"/>
                        </a:rPr>
                        <m:t>𝑠𝑓𝑎</m:t>
                      </m:r>
                    </m:e>
                    <m:sub>
                      <m:r>
                        <a:rPr lang="en-US" sz="1800" b="0" i="1">
                          <a:latin typeface="Cambria Math" panose="02040503050406030204" pitchFamily="18" charset="0"/>
                        </a:rPr>
                        <m:t>𝑡</m:t>
                      </m:r>
                    </m:sub>
                  </m:sSub>
                </m:oMath>
              </a14:m>
              <a:endParaRPr lang="en-US" sz="1800"/>
            </a:p>
          </xdr:txBody>
        </xdr:sp>
      </mc:Choice>
      <mc:Fallback xmlns="">
        <xdr:sp macro="" textlink="">
          <xdr:nvSpPr>
            <xdr:cNvPr id="3" name="TextBox 2">
              <a:extLst>
                <a:ext uri="{FF2B5EF4-FFF2-40B4-BE49-F238E27FC236}">
                  <a16:creationId xmlns:a16="http://schemas.microsoft.com/office/drawing/2014/main" id="{0C944A33-0866-F76F-9EF2-BA655CE04C76}"/>
                </a:ext>
              </a:extLst>
            </xdr:cNvPr>
            <xdr:cNvSpPr txBox="1"/>
          </xdr:nvSpPr>
          <xdr:spPr>
            <a:xfrm>
              <a:off x="297744" y="1123243"/>
              <a:ext cx="10342034" cy="451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800" b="0" i="0">
                  <a:latin typeface="Cambria Math" panose="02040503050406030204" pitchFamily="18" charset="0"/>
                </a:rPr>
                <a:t>𝑑_𝑡−𝑑_(𝑡−1)=𝑖_𝑡/(1+𝑔_𝑡 )(1+</a:t>
              </a:r>
              <a:r>
                <a:rPr lang="en-US" sz="1800" b="0" i="0">
                  <a:latin typeface="Cambria Math" panose="02040503050406030204" pitchFamily="18" charset="0"/>
                  <a:ea typeface="Cambria Math" panose="02040503050406030204" pitchFamily="18" charset="0"/>
                </a:rPr>
                <a:t>𝜋_</a:t>
              </a:r>
              <a:r>
                <a:rPr lang="en-US" sz="1800" b="0" i="0">
                  <a:latin typeface="Cambria Math" panose="02040503050406030204" pitchFamily="18" charset="0"/>
                </a:rPr>
                <a:t>𝑡 )  𝑑_(𝑡−1)−</a:t>
              </a:r>
              <a:r>
                <a:rPr lang="en-US" sz="1800" i="0">
                  <a:latin typeface="Cambria Math" panose="02040503050406030204" pitchFamily="18" charset="0"/>
                  <a:ea typeface="Cambria Math" panose="02040503050406030204" pitchFamily="18" charset="0"/>
                </a:rPr>
                <a:t>𝜋_</a:t>
              </a:r>
              <a:r>
                <a:rPr lang="en-US" sz="1800" b="0" i="0">
                  <a:latin typeface="Cambria Math" panose="02040503050406030204" pitchFamily="18" charset="0"/>
                </a:rPr>
                <a:t>𝑡/(1+𝑔_𝑡 )(1+</a:t>
              </a:r>
              <a:r>
                <a:rPr lang="en-US" sz="1800" b="0" i="0">
                  <a:latin typeface="Cambria Math" panose="02040503050406030204" pitchFamily="18" charset="0"/>
                  <a:ea typeface="Cambria Math" panose="02040503050406030204" pitchFamily="18" charset="0"/>
                </a:rPr>
                <a:t>𝜋_</a:t>
              </a:r>
              <a:r>
                <a:rPr lang="en-US" sz="1800" b="0" i="0">
                  <a:latin typeface="Cambria Math" panose="02040503050406030204" pitchFamily="18" charset="0"/>
                </a:rPr>
                <a:t>𝑡 )  𝑑_(𝑡−1)</a:t>
              </a:r>
              <a:r>
                <a:rPr lang="en-US" sz="1800"/>
                <a:t>+</a:t>
              </a:r>
              <a:r>
                <a:rPr lang="en-US" sz="1800" i="0">
                  <a:latin typeface="Cambria Math" panose="02040503050406030204" pitchFamily="18" charset="0"/>
                </a:rPr>
                <a:t>〖</a:t>
              </a:r>
              <a:r>
                <a:rPr lang="en-US" sz="1800" i="0">
                  <a:latin typeface="Cambria Math" panose="02040503050406030204" pitchFamily="18" charset="0"/>
                  <a:ea typeface="Cambria Math" panose="02040503050406030204" pitchFamily="18" charset="0"/>
                </a:rPr>
                <a:t>∆</a:t>
              </a:r>
              <a:r>
                <a:rPr lang="en-US" sz="1800" b="0" i="0">
                  <a:latin typeface="Cambria Math" panose="02040503050406030204" pitchFamily="18" charset="0"/>
                </a:rPr>
                <a:t>𝑒〗_𝑡/(1+𝑔_𝑡 )(1+</a:t>
              </a:r>
              <a:r>
                <a:rPr lang="en-US" sz="1800" b="0" i="0">
                  <a:latin typeface="Cambria Math" panose="02040503050406030204" pitchFamily="18" charset="0"/>
                  <a:ea typeface="Cambria Math" panose="02040503050406030204" pitchFamily="18" charset="0"/>
                </a:rPr>
                <a:t>𝜋_</a:t>
              </a:r>
              <a:r>
                <a:rPr lang="en-US" sz="1800" b="0" i="0">
                  <a:latin typeface="Cambria Math" panose="02040503050406030204" pitchFamily="18" charset="0"/>
                </a:rPr>
                <a:t>𝑡 )  </a:t>
              </a:r>
              <a:r>
                <a:rPr lang="en-US" sz="1800" b="0" i="0">
                  <a:latin typeface="Cambria Math" panose="02040503050406030204" pitchFamily="18" charset="0"/>
                  <a:ea typeface="Cambria Math" panose="02040503050406030204" pitchFamily="18" charset="0"/>
                </a:rPr>
                <a:t>𝛼_(</a:t>
              </a:r>
              <a:r>
                <a:rPr lang="en-US" sz="1800" b="0" i="0">
                  <a:latin typeface="Cambria Math" panose="02040503050406030204" pitchFamily="18" charset="0"/>
                </a:rPr>
                <a:t>𝑡−1) 𝑑_(𝑡−1)−𝑔_𝑡/(1+𝑔_𝑡 )(1+</a:t>
              </a:r>
              <a:r>
                <a:rPr lang="en-US" sz="1800" b="0" i="0">
                  <a:latin typeface="Cambria Math" panose="02040503050406030204" pitchFamily="18" charset="0"/>
                  <a:ea typeface="Cambria Math" panose="02040503050406030204" pitchFamily="18" charset="0"/>
                </a:rPr>
                <a:t>𝜋_</a:t>
              </a:r>
              <a:r>
                <a:rPr lang="en-US" sz="1800" b="0" i="0">
                  <a:latin typeface="Cambria Math" panose="02040503050406030204" pitchFamily="18" charset="0"/>
                </a:rPr>
                <a:t>𝑡 )  𝑑_(𝑡−1)−𝑏_𝑡+〖𝑠𝑓𝑎〗_𝑡</a:t>
              </a:r>
              <a:endParaRPr lang="en-US" sz="1800"/>
            </a:p>
          </xdr:txBody>
        </xdr:sp>
      </mc:Fallback>
    </mc:AlternateContent>
    <xdr:clientData/>
  </xdr:oneCellAnchor>
  <xdr:twoCellAnchor>
    <xdr:from>
      <xdr:col>0</xdr:col>
      <xdr:colOff>225777</xdr:colOff>
      <xdr:row>47</xdr:row>
      <xdr:rowOff>99413</xdr:rowOff>
    </xdr:from>
    <xdr:to>
      <xdr:col>6</xdr:col>
      <xdr:colOff>616088</xdr:colOff>
      <xdr:row>67</xdr:row>
      <xdr:rowOff>165672</xdr:rowOff>
    </xdr:to>
    <xdr:graphicFrame macro="">
      <xdr:nvGraphicFramePr>
        <xdr:cNvPr id="4" name="Chart 3">
          <a:extLst>
            <a:ext uri="{FF2B5EF4-FFF2-40B4-BE49-F238E27FC236}">
              <a16:creationId xmlns:a16="http://schemas.microsoft.com/office/drawing/2014/main" id="{F7457F8C-70E4-594D-92AD-09BA8C8F7F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239888</xdr:colOff>
      <xdr:row>47</xdr:row>
      <xdr:rowOff>42334</xdr:rowOff>
    </xdr:from>
    <xdr:to>
      <xdr:col>15</xdr:col>
      <xdr:colOff>278765</xdr:colOff>
      <xdr:row>67</xdr:row>
      <xdr:rowOff>97793</xdr:rowOff>
    </xdr:to>
    <xdr:graphicFrame macro="">
      <xdr:nvGraphicFramePr>
        <xdr:cNvPr id="5" name="Chart 4">
          <a:extLst>
            <a:ext uri="{FF2B5EF4-FFF2-40B4-BE49-F238E27FC236}">
              <a16:creationId xmlns:a16="http://schemas.microsoft.com/office/drawing/2014/main" id="{F8C836CF-824C-B34A-AFA9-35D56A3998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395109</xdr:colOff>
      <xdr:row>46</xdr:row>
      <xdr:rowOff>72616</xdr:rowOff>
    </xdr:from>
    <xdr:to>
      <xdr:col>23</xdr:col>
      <xdr:colOff>529086</xdr:colOff>
      <xdr:row>70</xdr:row>
      <xdr:rowOff>98936</xdr:rowOff>
    </xdr:to>
    <xdr:graphicFrame macro="">
      <xdr:nvGraphicFramePr>
        <xdr:cNvPr id="6" name="Chart 5">
          <a:extLst>
            <a:ext uri="{FF2B5EF4-FFF2-40B4-BE49-F238E27FC236}">
              <a16:creationId xmlns:a16="http://schemas.microsoft.com/office/drawing/2014/main" id="{A46C1101-75B7-1942-B741-5BDC9A4853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43162</xdr:colOff>
      <xdr:row>30</xdr:row>
      <xdr:rowOff>185601</xdr:rowOff>
    </xdr:from>
    <xdr:to>
      <xdr:col>8</xdr:col>
      <xdr:colOff>4162</xdr:colOff>
      <xdr:row>49</xdr:row>
      <xdr:rowOff>3823</xdr:rowOff>
    </xdr:to>
    <xdr:graphicFrame macro="">
      <xdr:nvGraphicFramePr>
        <xdr:cNvPr id="3" name="Chart 2">
          <a:extLst>
            <a:ext uri="{FF2B5EF4-FFF2-40B4-BE49-F238E27FC236}">
              <a16:creationId xmlns:a16="http://schemas.microsoft.com/office/drawing/2014/main" id="{9DABF3E2-5076-6E4D-458E-0DD848814F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268111</xdr:colOff>
      <xdr:row>5</xdr:row>
      <xdr:rowOff>268111</xdr:rowOff>
    </xdr:from>
    <xdr:ext cx="10342034" cy="438325"/>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1EFC3E2F-B013-D843-9019-DE5C31343CED}"/>
                </a:ext>
              </a:extLst>
            </xdr:cNvPr>
            <xdr:cNvSpPr txBox="1"/>
          </xdr:nvSpPr>
          <xdr:spPr>
            <a:xfrm>
              <a:off x="268111" y="2949222"/>
              <a:ext cx="10342034" cy="438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400" b="0" i="1">
                        <a:latin typeface="Cambria Math" panose="02040503050406030204" pitchFamily="18" charset="0"/>
                      </a:rPr>
                      <m:t>𝑆𝑖</m:t>
                    </m:r>
                    <m:r>
                      <a:rPr lang="en-US" sz="1400" b="0" i="1">
                        <a:latin typeface="Cambria Math" panose="02040503050406030204" pitchFamily="18" charset="0"/>
                      </a:rPr>
                      <m:t> </m:t>
                    </m:r>
                    <m:r>
                      <a:rPr lang="en-US" sz="1400" b="0" i="1">
                        <a:latin typeface="Cambria Math" panose="02040503050406030204" pitchFamily="18" charset="0"/>
                      </a:rPr>
                      <m:t>𝑙𝑎</m:t>
                    </m:r>
                    <m:r>
                      <a:rPr lang="en-US" sz="1400" b="0" i="1">
                        <a:latin typeface="Cambria Math" panose="02040503050406030204" pitchFamily="18" charset="0"/>
                      </a:rPr>
                      <m:t> </m:t>
                    </m:r>
                    <m:r>
                      <a:rPr lang="en-US" sz="1400" b="0" i="1">
                        <a:latin typeface="Cambria Math" panose="02040503050406030204" pitchFamily="18" charset="0"/>
                      </a:rPr>
                      <m:t>𝑑𝑒𝑢𝑑𝑎</m:t>
                    </m:r>
                    <m:r>
                      <a:rPr lang="en-US" sz="1400" b="0" i="1">
                        <a:latin typeface="Cambria Math" panose="02040503050406030204" pitchFamily="18" charset="0"/>
                      </a:rPr>
                      <m:t> </m:t>
                    </m:r>
                    <m:r>
                      <a:rPr lang="en-US" sz="1400" b="0" i="1">
                        <a:latin typeface="Cambria Math" panose="02040503050406030204" pitchFamily="18" charset="0"/>
                      </a:rPr>
                      <m:t>𝑒𝑛</m:t>
                    </m:r>
                    <m:r>
                      <a:rPr lang="en-US" sz="1400" b="0" i="1">
                        <a:latin typeface="Cambria Math" panose="02040503050406030204" pitchFamily="18" charset="0"/>
                      </a:rPr>
                      <m:t> </m:t>
                    </m:r>
                    <m:r>
                      <a:rPr lang="en-US" sz="1400" b="0" i="1">
                        <a:latin typeface="Cambria Math" panose="02040503050406030204" pitchFamily="18" charset="0"/>
                      </a:rPr>
                      <m:t>𝑡</m:t>
                    </m:r>
                    <m:r>
                      <a:rPr lang="en-US" sz="1400" b="0" i="1">
                        <a:latin typeface="Cambria Math" panose="02040503050406030204" pitchFamily="18" charset="0"/>
                      </a:rPr>
                      <m:t>−1 </m:t>
                    </m:r>
                    <m:r>
                      <a:rPr lang="en-US" sz="1400" b="0" i="1">
                        <a:latin typeface="Cambria Math" panose="02040503050406030204" pitchFamily="18" charset="0"/>
                      </a:rPr>
                      <m:t>𝑒𝑠</m:t>
                    </m:r>
                    <m:r>
                      <a:rPr lang="en-US" sz="1400" b="0" i="1">
                        <a:latin typeface="Cambria Math" panose="02040503050406030204" pitchFamily="18" charset="0"/>
                      </a:rPr>
                      <m:t> </m:t>
                    </m:r>
                    <m:r>
                      <a:rPr lang="en-US" sz="1400" b="0" i="1">
                        <a:latin typeface="Cambria Math" panose="02040503050406030204" pitchFamily="18" charset="0"/>
                      </a:rPr>
                      <m:t>𝑚𝑒𝑛𝑜𝑟</m:t>
                    </m:r>
                    <m:r>
                      <a:rPr lang="en-US" sz="1400" b="0" i="1">
                        <a:latin typeface="Cambria Math" panose="02040503050406030204" pitchFamily="18" charset="0"/>
                      </a:rPr>
                      <m:t> </m:t>
                    </m:r>
                    <m:r>
                      <a:rPr lang="en-US" sz="1400" b="0" i="1">
                        <a:latin typeface="Cambria Math" panose="02040503050406030204" pitchFamily="18" charset="0"/>
                      </a:rPr>
                      <m:t>𝑜</m:t>
                    </m:r>
                    <m:r>
                      <a:rPr lang="en-US" sz="1400" b="0" i="1">
                        <a:latin typeface="Cambria Math" panose="02040503050406030204" pitchFamily="18" charset="0"/>
                      </a:rPr>
                      <m:t> </m:t>
                    </m:r>
                    <m:r>
                      <a:rPr lang="en-US" sz="1400" b="0" i="1">
                        <a:latin typeface="Cambria Math" panose="02040503050406030204" pitchFamily="18" charset="0"/>
                      </a:rPr>
                      <m:t>𝑖𝑔𝑢𝑎𝑙</m:t>
                    </m:r>
                    <m:r>
                      <a:rPr lang="en-US" sz="1400" b="0" i="1">
                        <a:latin typeface="Cambria Math" panose="02040503050406030204" pitchFamily="18" charset="0"/>
                      </a:rPr>
                      <m:t> </m:t>
                    </m:r>
                    <m:r>
                      <a:rPr lang="en-US" sz="1400" b="0" i="1">
                        <a:latin typeface="Cambria Math" panose="02040503050406030204" pitchFamily="18" charset="0"/>
                      </a:rPr>
                      <m:t>𝑎</m:t>
                    </m:r>
                    <m:r>
                      <a:rPr lang="en-US" sz="1400" b="0" i="1">
                        <a:latin typeface="Cambria Math" panose="02040503050406030204" pitchFamily="18" charset="0"/>
                      </a:rPr>
                      <m:t> 70% </m:t>
                    </m:r>
                    <m:r>
                      <a:rPr lang="en-US" sz="1400" b="0" i="1">
                        <a:latin typeface="Cambria Math" panose="02040503050406030204" pitchFamily="18" charset="0"/>
                      </a:rPr>
                      <m:t>𝑒𝑛𝑡𝑜𝑛𝑐𝑒𝑠</m:t>
                    </m:r>
                    <m:r>
                      <a:rPr lang="en-US" sz="1400" b="0" i="1">
                        <a:latin typeface="Cambria Math" panose="02040503050406030204" pitchFamily="18" charset="0"/>
                      </a:rPr>
                      <m:t>: </m:t>
                    </m:r>
                    <m:sSub>
                      <m:sSubPr>
                        <m:ctrlPr>
                          <a:rPr lang="en-US" sz="1400" b="0" i="1">
                            <a:solidFill>
                              <a:srgbClr val="4396DB"/>
                            </a:solidFill>
                            <a:latin typeface="Cambria Math" panose="02040503050406030204" pitchFamily="18" charset="0"/>
                          </a:rPr>
                        </m:ctrlPr>
                      </m:sSubPr>
                      <m:e>
                        <m:r>
                          <a:rPr lang="en-US" sz="1400" b="0" i="1">
                            <a:solidFill>
                              <a:srgbClr val="4396DB"/>
                            </a:solidFill>
                            <a:latin typeface="Cambria Math" panose="02040503050406030204" pitchFamily="18" charset="0"/>
                          </a:rPr>
                          <m:t>𝐵𝑁𝑃𝐸</m:t>
                        </m:r>
                      </m:e>
                      <m:sub>
                        <m:r>
                          <a:rPr lang="en-US" sz="1400" b="0" i="1">
                            <a:solidFill>
                              <a:srgbClr val="4396DB"/>
                            </a:solidFill>
                            <a:latin typeface="Cambria Math" panose="02040503050406030204" pitchFamily="18" charset="0"/>
                          </a:rPr>
                          <m:t>𝑡</m:t>
                        </m:r>
                      </m:sub>
                    </m:sSub>
                    <m:r>
                      <a:rPr lang="en-US" sz="1400" b="0" i="1">
                        <a:solidFill>
                          <a:srgbClr val="4396DB"/>
                        </a:solidFill>
                        <a:latin typeface="Cambria Math" panose="02040503050406030204" pitchFamily="18" charset="0"/>
                      </a:rPr>
                      <m:t>=0,2 + 0,1 </m:t>
                    </m:r>
                    <m:d>
                      <m:dPr>
                        <m:ctrlPr>
                          <a:rPr lang="en-US" sz="1400" b="0" i="1">
                            <a:solidFill>
                              <a:srgbClr val="4396DB"/>
                            </a:solidFill>
                            <a:latin typeface="Cambria Math" panose="02040503050406030204" pitchFamily="18" charset="0"/>
                          </a:rPr>
                        </m:ctrlPr>
                      </m:dPr>
                      <m:e>
                        <m:sSub>
                          <m:sSubPr>
                            <m:ctrlPr>
                              <a:rPr lang="en-US" sz="1400" b="0" i="1">
                                <a:solidFill>
                                  <a:srgbClr val="4396DB"/>
                                </a:solidFill>
                                <a:latin typeface="Cambria Math" panose="02040503050406030204" pitchFamily="18" charset="0"/>
                              </a:rPr>
                            </m:ctrlPr>
                          </m:sSubPr>
                          <m:e>
                            <m:r>
                              <a:rPr lang="en-US" sz="1400" b="0" i="1">
                                <a:solidFill>
                                  <a:srgbClr val="4396DB"/>
                                </a:solidFill>
                                <a:latin typeface="Cambria Math" panose="02040503050406030204" pitchFamily="18" charset="0"/>
                              </a:rPr>
                              <m:t>𝐷𝑒𝑢𝑑𝑎</m:t>
                            </m:r>
                            <m:r>
                              <a:rPr lang="en-US" sz="1400" b="0" i="1">
                                <a:solidFill>
                                  <a:srgbClr val="4396DB"/>
                                </a:solidFill>
                                <a:latin typeface="Cambria Math" panose="02040503050406030204" pitchFamily="18" charset="0"/>
                              </a:rPr>
                              <m:t> </m:t>
                            </m:r>
                            <m:r>
                              <a:rPr lang="en-US" sz="1400" b="0" i="1">
                                <a:solidFill>
                                  <a:srgbClr val="4396DB"/>
                                </a:solidFill>
                                <a:latin typeface="Cambria Math" panose="02040503050406030204" pitchFamily="18" charset="0"/>
                              </a:rPr>
                              <m:t>𝑁𝑒𝑡𝑎</m:t>
                            </m:r>
                          </m:e>
                          <m:sub>
                            <m:r>
                              <a:rPr lang="en-US" sz="1400" b="0" i="1">
                                <a:solidFill>
                                  <a:srgbClr val="4396DB"/>
                                </a:solidFill>
                                <a:latin typeface="Cambria Math" panose="02040503050406030204" pitchFamily="18" charset="0"/>
                              </a:rPr>
                              <m:t>𝑡</m:t>
                            </m:r>
                            <m:r>
                              <a:rPr lang="en-US" sz="1400" b="0" i="1">
                                <a:solidFill>
                                  <a:srgbClr val="4396DB"/>
                                </a:solidFill>
                                <a:latin typeface="Cambria Math" panose="02040503050406030204" pitchFamily="18" charset="0"/>
                              </a:rPr>
                              <m:t>−1</m:t>
                            </m:r>
                          </m:sub>
                        </m:sSub>
                        <m:r>
                          <a:rPr lang="en-US" sz="1400" b="0" i="1">
                            <a:solidFill>
                              <a:srgbClr val="4396DB"/>
                            </a:solidFill>
                            <a:latin typeface="Cambria Math" panose="02040503050406030204" pitchFamily="18" charset="0"/>
                          </a:rPr>
                          <m:t>−55</m:t>
                        </m:r>
                      </m:e>
                    </m:d>
                  </m:oMath>
                </m:oMathPara>
              </a14:m>
              <a:endParaRPr lang="en-US" sz="1400" b="0"/>
            </a:p>
            <a:p>
              <a:pPr/>
              <a14:m>
                <m:oMathPara xmlns:m="http://schemas.openxmlformats.org/officeDocument/2006/math">
                  <m:oMathParaPr>
                    <m:jc m:val="centerGroup"/>
                  </m:oMathParaPr>
                  <m:oMath xmlns:m="http://schemas.openxmlformats.org/officeDocument/2006/math">
                    <m:r>
                      <a:rPr lang="en-US" sz="1400" b="0" i="1">
                        <a:latin typeface="Cambria Math" panose="02040503050406030204" pitchFamily="18" charset="0"/>
                      </a:rPr>
                      <m:t>𝑆𝑖</m:t>
                    </m:r>
                    <m:r>
                      <a:rPr lang="en-US" sz="1400" b="0" i="1">
                        <a:latin typeface="Cambria Math" panose="02040503050406030204" pitchFamily="18" charset="0"/>
                      </a:rPr>
                      <m:t> </m:t>
                    </m:r>
                    <m:r>
                      <a:rPr lang="en-US" sz="1400" b="0" i="1">
                        <a:latin typeface="Cambria Math" panose="02040503050406030204" pitchFamily="18" charset="0"/>
                      </a:rPr>
                      <m:t>𝑙𝑎</m:t>
                    </m:r>
                    <m:r>
                      <a:rPr lang="en-US" sz="1400" b="0" i="1">
                        <a:latin typeface="Cambria Math" panose="02040503050406030204" pitchFamily="18" charset="0"/>
                      </a:rPr>
                      <m:t> </m:t>
                    </m:r>
                    <m:r>
                      <a:rPr lang="en-US" sz="1400" b="0" i="1">
                        <a:latin typeface="Cambria Math" panose="02040503050406030204" pitchFamily="18" charset="0"/>
                      </a:rPr>
                      <m:t>𝑑𝑒𝑢𝑑𝑎</m:t>
                    </m:r>
                    <m:r>
                      <a:rPr lang="en-US" sz="1400" b="0" i="1">
                        <a:latin typeface="Cambria Math" panose="02040503050406030204" pitchFamily="18" charset="0"/>
                      </a:rPr>
                      <m:t> </m:t>
                    </m:r>
                    <m:r>
                      <a:rPr lang="en-US" sz="1400" b="0" i="1">
                        <a:latin typeface="Cambria Math" panose="02040503050406030204" pitchFamily="18" charset="0"/>
                      </a:rPr>
                      <m:t>𝑒𝑛</m:t>
                    </m:r>
                    <m:r>
                      <a:rPr lang="en-US" sz="1400" b="0" i="1">
                        <a:latin typeface="Cambria Math" panose="02040503050406030204" pitchFamily="18" charset="0"/>
                      </a:rPr>
                      <m:t> </m:t>
                    </m:r>
                    <m:r>
                      <a:rPr lang="en-US" sz="1400" b="0" i="1">
                        <a:latin typeface="Cambria Math" panose="02040503050406030204" pitchFamily="18" charset="0"/>
                      </a:rPr>
                      <m:t>𝑡</m:t>
                    </m:r>
                    <m:r>
                      <a:rPr lang="en-US" sz="1400" b="0" i="1">
                        <a:latin typeface="Cambria Math" panose="02040503050406030204" pitchFamily="18" charset="0"/>
                      </a:rPr>
                      <m:t>−1 </m:t>
                    </m:r>
                    <m:r>
                      <a:rPr lang="en-US" sz="1400" b="0" i="1">
                        <a:latin typeface="Cambria Math" panose="02040503050406030204" pitchFamily="18" charset="0"/>
                      </a:rPr>
                      <m:t>𝑒𝑠</m:t>
                    </m:r>
                    <m:r>
                      <a:rPr lang="en-US" sz="1400" b="0" i="1">
                        <a:latin typeface="Cambria Math" panose="02040503050406030204" pitchFamily="18" charset="0"/>
                      </a:rPr>
                      <m:t> </m:t>
                    </m:r>
                    <m:r>
                      <a:rPr lang="en-US" sz="1400" b="0" i="1">
                        <a:latin typeface="Cambria Math" panose="02040503050406030204" pitchFamily="18" charset="0"/>
                      </a:rPr>
                      <m:t>𝑚𝑎𝑦𝑜𝑟</m:t>
                    </m:r>
                    <m:r>
                      <a:rPr lang="en-US" sz="1400" b="0" i="1">
                        <a:latin typeface="Cambria Math" panose="02040503050406030204" pitchFamily="18" charset="0"/>
                      </a:rPr>
                      <m:t> </m:t>
                    </m:r>
                    <m:r>
                      <a:rPr lang="en-US" sz="1400" b="0" i="1">
                        <a:latin typeface="Cambria Math" panose="02040503050406030204" pitchFamily="18" charset="0"/>
                      </a:rPr>
                      <m:t>𝑎</m:t>
                    </m:r>
                    <m:r>
                      <a:rPr lang="en-US" sz="1400" b="0" i="1">
                        <a:latin typeface="Cambria Math" panose="02040503050406030204" pitchFamily="18" charset="0"/>
                      </a:rPr>
                      <m:t> 70% </m:t>
                    </m:r>
                    <m:r>
                      <a:rPr lang="en-US" sz="1400" b="0" i="1">
                        <a:latin typeface="Cambria Math" panose="02040503050406030204" pitchFamily="18" charset="0"/>
                      </a:rPr>
                      <m:t>𝑒𝑛𝑡𝑜𝑛𝑐𝑒𝑠</m:t>
                    </m:r>
                    <m:r>
                      <a:rPr lang="en-US" sz="1400" b="0" i="1">
                        <a:latin typeface="Cambria Math" panose="02040503050406030204" pitchFamily="18" charset="0"/>
                      </a:rPr>
                      <m:t>: </m:t>
                    </m:r>
                    <m:sSub>
                      <m:sSubPr>
                        <m:ctrlPr>
                          <a:rPr lang="en-US" sz="1400" b="0" i="1">
                            <a:solidFill>
                              <a:srgbClr val="4396DB"/>
                            </a:solidFill>
                            <a:latin typeface="Cambria Math" panose="02040503050406030204" pitchFamily="18" charset="0"/>
                          </a:rPr>
                        </m:ctrlPr>
                      </m:sSubPr>
                      <m:e>
                        <m:r>
                          <a:rPr lang="en-US" sz="1400" b="0" i="1">
                            <a:solidFill>
                              <a:srgbClr val="4396DB"/>
                            </a:solidFill>
                            <a:latin typeface="Cambria Math" panose="02040503050406030204" pitchFamily="18" charset="0"/>
                          </a:rPr>
                          <m:t>𝐵𝑁𝑃𝐸</m:t>
                        </m:r>
                      </m:e>
                      <m:sub>
                        <m:r>
                          <a:rPr lang="en-US" sz="1400" b="0" i="1">
                            <a:solidFill>
                              <a:srgbClr val="4396DB"/>
                            </a:solidFill>
                            <a:latin typeface="Cambria Math" panose="02040503050406030204" pitchFamily="18" charset="0"/>
                          </a:rPr>
                          <m:t>𝑡</m:t>
                        </m:r>
                      </m:sub>
                    </m:sSub>
                    <m:r>
                      <a:rPr lang="en-US" sz="1400" b="0" i="1">
                        <a:solidFill>
                          <a:srgbClr val="4396DB"/>
                        </a:solidFill>
                        <a:latin typeface="Cambria Math" panose="02040503050406030204" pitchFamily="18" charset="0"/>
                      </a:rPr>
                      <m:t>=1,8</m:t>
                    </m:r>
                  </m:oMath>
                </m:oMathPara>
              </a14:m>
              <a:endParaRPr lang="en-US" sz="1400">
                <a:solidFill>
                  <a:srgbClr val="4396DB"/>
                </a:solidFill>
              </a:endParaRPr>
            </a:p>
          </xdr:txBody>
        </xdr:sp>
      </mc:Choice>
      <mc:Fallback xmlns="">
        <xdr:sp macro="" textlink="">
          <xdr:nvSpPr>
            <xdr:cNvPr id="2" name="TextBox 1">
              <a:extLst>
                <a:ext uri="{FF2B5EF4-FFF2-40B4-BE49-F238E27FC236}">
                  <a16:creationId xmlns:a16="http://schemas.microsoft.com/office/drawing/2014/main" id="{1EFC3E2F-B013-D843-9019-DE5C31343CED}"/>
                </a:ext>
              </a:extLst>
            </xdr:cNvPr>
            <xdr:cNvSpPr txBox="1"/>
          </xdr:nvSpPr>
          <xdr:spPr>
            <a:xfrm>
              <a:off x="268111" y="2949222"/>
              <a:ext cx="10342034" cy="438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400" b="0" i="0">
                  <a:latin typeface="Cambria Math" panose="02040503050406030204" pitchFamily="18" charset="0"/>
                </a:rPr>
                <a:t>𝑆𝑖 𝑙𝑎 𝑑𝑒𝑢𝑑𝑎 𝑒𝑛 𝑡−1 𝑒𝑠 𝑚𝑒𝑛𝑜𝑟 𝑜 𝑖𝑔𝑢𝑎𝑙 𝑎 70% 𝑒𝑛𝑡𝑜𝑛𝑐𝑒𝑠: </a:t>
              </a:r>
              <a:r>
                <a:rPr lang="en-US" sz="1400" b="0" i="0">
                  <a:solidFill>
                    <a:srgbClr val="4396DB"/>
                  </a:solidFill>
                  <a:latin typeface="Cambria Math" panose="02040503050406030204" pitchFamily="18" charset="0"/>
                </a:rPr>
                <a:t>〖𝐵𝑁𝑃𝐸〗_𝑡=0,2 + 0,1 (〖𝐷𝑒𝑢𝑑𝑎 𝑁𝑒𝑡𝑎〗_(𝑡−1)−55)</a:t>
              </a:r>
              <a:endParaRPr lang="en-US" sz="1400" b="0"/>
            </a:p>
            <a:p>
              <a:pPr/>
              <a:r>
                <a:rPr lang="en-US" sz="1400" b="0" i="0">
                  <a:latin typeface="Cambria Math" panose="02040503050406030204" pitchFamily="18" charset="0"/>
                </a:rPr>
                <a:t>𝑆𝑖 𝑙𝑎 𝑑𝑒𝑢𝑑𝑎 𝑒𝑛 𝑡−1 𝑒𝑠 𝑚𝑎𝑦𝑜𝑟 𝑎 70% 𝑒𝑛𝑡𝑜𝑛𝑐𝑒𝑠: </a:t>
              </a:r>
              <a:r>
                <a:rPr lang="en-US" sz="1400" b="0" i="0">
                  <a:solidFill>
                    <a:srgbClr val="4396DB"/>
                  </a:solidFill>
                  <a:latin typeface="Cambria Math" panose="02040503050406030204" pitchFamily="18" charset="0"/>
                </a:rPr>
                <a:t>〖𝐵𝑁𝑃𝐸〗_𝑡=1,8</a:t>
              </a:r>
              <a:endParaRPr lang="en-US" sz="1400">
                <a:solidFill>
                  <a:srgbClr val="4396DB"/>
                </a:solidFill>
              </a:endParaRPr>
            </a:p>
          </xdr:txBody>
        </xdr:sp>
      </mc:Fallback>
    </mc:AlternateContent>
    <xdr:clientData/>
  </xdr:oneCellAnchor>
  <xdr:twoCellAnchor>
    <xdr:from>
      <xdr:col>8</xdr:col>
      <xdr:colOff>331610</xdr:colOff>
      <xdr:row>30</xdr:row>
      <xdr:rowOff>173566</xdr:rowOff>
    </xdr:from>
    <xdr:to>
      <xdr:col>18</xdr:col>
      <xdr:colOff>391388</xdr:colOff>
      <xdr:row>48</xdr:row>
      <xdr:rowOff>189344</xdr:rowOff>
    </xdr:to>
    <xdr:graphicFrame macro="">
      <xdr:nvGraphicFramePr>
        <xdr:cNvPr id="4" name="Chart 3">
          <a:extLst>
            <a:ext uri="{FF2B5EF4-FFF2-40B4-BE49-F238E27FC236}">
              <a16:creationId xmlns:a16="http://schemas.microsoft.com/office/drawing/2014/main" id="{EAD77302-56B9-31C5-9784-97AF7DD242D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127000</xdr:colOff>
      <xdr:row>25</xdr:row>
      <xdr:rowOff>112889</xdr:rowOff>
    </xdr:from>
    <xdr:to>
      <xdr:col>15</xdr:col>
      <xdr:colOff>0</xdr:colOff>
      <xdr:row>25</xdr:row>
      <xdr:rowOff>112889</xdr:rowOff>
    </xdr:to>
    <xdr:cxnSp macro="">
      <xdr:nvCxnSpPr>
        <xdr:cNvPr id="6" name="Straight Arrow Connector 5">
          <a:extLst>
            <a:ext uri="{FF2B5EF4-FFF2-40B4-BE49-F238E27FC236}">
              <a16:creationId xmlns:a16="http://schemas.microsoft.com/office/drawing/2014/main" id="{B6FDFA9B-DF64-75F4-4A48-0F0E8AB0EA89}"/>
            </a:ext>
          </a:extLst>
        </xdr:cNvPr>
        <xdr:cNvCxnSpPr/>
      </xdr:nvCxnSpPr>
      <xdr:spPr>
        <a:xfrm>
          <a:off x="11176000" y="8029222"/>
          <a:ext cx="705556" cy="0"/>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155222</xdr:colOff>
      <xdr:row>20</xdr:row>
      <xdr:rowOff>141110</xdr:rowOff>
    </xdr:from>
    <xdr:to>
      <xdr:col>15</xdr:col>
      <xdr:colOff>28222</xdr:colOff>
      <xdr:row>20</xdr:row>
      <xdr:rowOff>141110</xdr:rowOff>
    </xdr:to>
    <xdr:cxnSp macro="">
      <xdr:nvCxnSpPr>
        <xdr:cNvPr id="5" name="Straight Arrow Connector 4">
          <a:extLst>
            <a:ext uri="{FF2B5EF4-FFF2-40B4-BE49-F238E27FC236}">
              <a16:creationId xmlns:a16="http://schemas.microsoft.com/office/drawing/2014/main" id="{0338EC60-06EB-5448-A3AB-A660A1383A85}"/>
            </a:ext>
          </a:extLst>
        </xdr:cNvPr>
        <xdr:cNvCxnSpPr/>
      </xdr:nvCxnSpPr>
      <xdr:spPr>
        <a:xfrm>
          <a:off x="11190111" y="7069666"/>
          <a:ext cx="705555" cy="0"/>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rc.gov.co/webcenter/portal/IRCEs/pages_Deuda/perfildeudapblicagnc/perfildeudapblicagnchistorico"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irc.gov.co/webcenter/portal/IRCEs/pages_Deuda/deudainternagnc/emisionesvigentes/p2022"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FDE0C-6DC8-414B-834F-BDA4C0D808A9}">
  <sheetPr>
    <tabColor rgb="FF003E6B"/>
  </sheetPr>
  <dimension ref="A7:A27"/>
  <sheetViews>
    <sheetView tabSelected="1" zoomScale="90" zoomScaleNormal="90" workbookViewId="0">
      <selection activeCell="A27" sqref="A27"/>
    </sheetView>
  </sheetViews>
  <sheetFormatPr baseColWidth="10" defaultColWidth="11" defaultRowHeight="16"/>
  <cols>
    <col min="1" max="1" width="220.33203125" style="174" customWidth="1"/>
    <col min="2" max="16384" width="11" style="1"/>
  </cols>
  <sheetData>
    <row r="7" spans="1:1" ht="9.75" customHeight="1"/>
    <row r="8" spans="1:1" ht="25" customHeight="1">
      <c r="A8" s="3" t="s">
        <v>155</v>
      </c>
    </row>
    <row r="9" spans="1:1">
      <c r="A9" s="173" t="s">
        <v>276</v>
      </c>
    </row>
    <row r="10" spans="1:1" ht="10" customHeight="1"/>
    <row r="11" spans="1:1" ht="18">
      <c r="A11" s="175" t="s">
        <v>152</v>
      </c>
    </row>
    <row r="12" spans="1:1" ht="68" customHeight="1">
      <c r="A12" s="428" t="s">
        <v>395</v>
      </c>
    </row>
    <row r="13" spans="1:1" ht="10" customHeight="1"/>
    <row r="14" spans="1:1" ht="18">
      <c r="A14" s="175" t="s">
        <v>218</v>
      </c>
    </row>
    <row r="15" spans="1:1" ht="71" customHeight="1">
      <c r="A15" s="428" t="s">
        <v>234</v>
      </c>
    </row>
    <row r="16" spans="1:1" ht="10" customHeight="1"/>
    <row r="17" spans="1:1" ht="18">
      <c r="A17" s="175" t="s">
        <v>277</v>
      </c>
    </row>
    <row r="18" spans="1:1" ht="57" customHeight="1">
      <c r="A18" s="429" t="s">
        <v>278</v>
      </c>
    </row>
    <row r="19" spans="1:1" ht="10" customHeight="1">
      <c r="A19" s="176"/>
    </row>
    <row r="20" spans="1:1" ht="18">
      <c r="A20" s="175" t="s">
        <v>153</v>
      </c>
    </row>
    <row r="21" spans="1:1" ht="51">
      <c r="A21" s="428" t="s">
        <v>280</v>
      </c>
    </row>
    <row r="22" spans="1:1" ht="10" customHeight="1"/>
    <row r="23" spans="1:1" ht="18">
      <c r="A23" s="175" t="s">
        <v>154</v>
      </c>
    </row>
    <row r="24" spans="1:1" ht="37.5" customHeight="1">
      <c r="A24" s="428" t="s">
        <v>279</v>
      </c>
    </row>
    <row r="26" spans="1:1" ht="18">
      <c r="A26" s="175" t="s">
        <v>403</v>
      </c>
    </row>
    <row r="27" spans="1:1" ht="17">
      <c r="A27" s="428" t="s">
        <v>404</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FDF16-A7F8-0645-B1E8-70CF6A00C8C6}">
  <sheetPr codeName="Sheet7">
    <tabColor theme="5" tint="0.59999389629810485"/>
  </sheetPr>
  <dimension ref="A2:XFD119"/>
  <sheetViews>
    <sheetView zoomScale="90" zoomScaleNormal="90" workbookViewId="0">
      <selection activeCell="B1" sqref="B1"/>
    </sheetView>
  </sheetViews>
  <sheetFormatPr baseColWidth="10" defaultColWidth="10.83203125" defaultRowHeight="15"/>
  <cols>
    <col min="1" max="1" width="4.83203125" style="37" customWidth="1"/>
    <col min="2" max="2" width="50.83203125" style="51" customWidth="1"/>
    <col min="3" max="14" width="10.83203125" style="37" customWidth="1"/>
    <col min="15" max="15" width="11.83203125" style="37" bestFit="1" customWidth="1"/>
    <col min="16" max="51" width="6.83203125" style="37" customWidth="1"/>
    <col min="52" max="16383" width="10.83203125" style="37"/>
    <col min="16384" max="16384" width="14" style="37" bestFit="1" customWidth="1"/>
  </cols>
  <sheetData>
    <row r="2" spans="2:51 16384:16384" ht="16">
      <c r="B2" s="49" t="s">
        <v>382</v>
      </c>
      <c r="C2" s="50">
        <v>2022</v>
      </c>
      <c r="D2" s="50">
        <v>2023</v>
      </c>
      <c r="E2" s="50">
        <v>2024</v>
      </c>
      <c r="F2" s="50">
        <v>2025</v>
      </c>
      <c r="G2" s="50">
        <v>2026</v>
      </c>
      <c r="H2" s="50">
        <v>2027</v>
      </c>
      <c r="I2" s="50">
        <v>2028</v>
      </c>
      <c r="J2" s="50">
        <v>2029</v>
      </c>
      <c r="K2" s="50">
        <v>2030</v>
      </c>
      <c r="L2" s="50">
        <v>2031</v>
      </c>
      <c r="M2" s="50">
        <v>2032</v>
      </c>
      <c r="N2" s="50">
        <v>2033</v>
      </c>
      <c r="O2" s="50">
        <v>2034</v>
      </c>
      <c r="P2" s="50">
        <v>2035</v>
      </c>
      <c r="Q2" s="50">
        <v>2036</v>
      </c>
      <c r="R2" s="50">
        <v>2037</v>
      </c>
      <c r="S2" s="50">
        <v>2038</v>
      </c>
      <c r="T2" s="50">
        <v>2039</v>
      </c>
      <c r="U2" s="50">
        <v>2040</v>
      </c>
      <c r="V2" s="50">
        <v>2041</v>
      </c>
      <c r="W2" s="50">
        <v>2042</v>
      </c>
      <c r="X2" s="50">
        <v>2043</v>
      </c>
      <c r="Y2" s="50">
        <v>2044</v>
      </c>
      <c r="Z2" s="50">
        <v>2045</v>
      </c>
      <c r="AA2" s="50">
        <v>2046</v>
      </c>
      <c r="AB2" s="50">
        <v>2047</v>
      </c>
      <c r="AC2" s="50">
        <v>2048</v>
      </c>
      <c r="AD2" s="50">
        <v>2049</v>
      </c>
      <c r="AE2" s="50">
        <v>2050</v>
      </c>
      <c r="AF2" s="50">
        <v>2051</v>
      </c>
      <c r="AG2" s="50">
        <v>2052</v>
      </c>
      <c r="AH2" s="50">
        <v>2053</v>
      </c>
      <c r="AI2" s="50">
        <v>2054</v>
      </c>
      <c r="AJ2" s="50">
        <v>2055</v>
      </c>
      <c r="AK2" s="50">
        <v>2056</v>
      </c>
      <c r="AL2" s="50">
        <v>2057</v>
      </c>
      <c r="AM2" s="50">
        <v>2058</v>
      </c>
      <c r="AN2" s="50">
        <v>2059</v>
      </c>
      <c r="AO2" s="50">
        <v>2060</v>
      </c>
      <c r="AP2" s="50">
        <v>2061</v>
      </c>
      <c r="AQ2" s="50">
        <v>2062</v>
      </c>
      <c r="AR2" s="50">
        <v>2063</v>
      </c>
      <c r="AS2" s="50">
        <v>2064</v>
      </c>
      <c r="AT2" s="50">
        <v>2065</v>
      </c>
      <c r="AU2" s="50">
        <v>2066</v>
      </c>
      <c r="AV2" s="50">
        <v>2067</v>
      </c>
      <c r="AW2" s="50">
        <v>2068</v>
      </c>
      <c r="AX2" s="50">
        <v>2069</v>
      </c>
      <c r="AY2" s="50">
        <v>2070</v>
      </c>
    </row>
    <row r="3" spans="2:51 16384:16384" ht="16">
      <c r="B3" s="51" t="s">
        <v>172</v>
      </c>
      <c r="C3" s="52">
        <f>Supuestos!E17</f>
        <v>4256</v>
      </c>
      <c r="D3" s="52">
        <f>Supuestos!F17</f>
        <v>0</v>
      </c>
      <c r="E3" s="52">
        <f>Supuestos!G17</f>
        <v>0</v>
      </c>
      <c r="F3" s="52">
        <f>Supuestos!H17</f>
        <v>0</v>
      </c>
      <c r="G3" s="52">
        <f>Supuestos!I17</f>
        <v>0</v>
      </c>
      <c r="H3" s="52">
        <f>Supuestos!J17</f>
        <v>0</v>
      </c>
      <c r="I3" s="52">
        <f>Supuestos!K17</f>
        <v>0</v>
      </c>
      <c r="J3" s="52">
        <f>Supuestos!L17</f>
        <v>0</v>
      </c>
      <c r="K3" s="52">
        <f>Supuestos!M17</f>
        <v>0</v>
      </c>
      <c r="L3" s="52">
        <f>Supuestos!N17</f>
        <v>0</v>
      </c>
      <c r="M3" s="52">
        <f>Supuestos!O17</f>
        <v>0</v>
      </c>
      <c r="N3" s="52">
        <f>Supuestos!P17</f>
        <v>0</v>
      </c>
      <c r="O3" s="52">
        <f>Supuestos!Q17</f>
        <v>0</v>
      </c>
      <c r="P3" s="52">
        <f>Supuestos!R17</f>
        <v>0</v>
      </c>
      <c r="Q3" s="52">
        <f>Supuestos!S17</f>
        <v>0</v>
      </c>
      <c r="R3" s="52">
        <f>Supuestos!T17</f>
        <v>0</v>
      </c>
      <c r="S3" s="52">
        <f>Supuestos!U17</f>
        <v>0</v>
      </c>
      <c r="T3" s="52">
        <f>Supuestos!V17</f>
        <v>0</v>
      </c>
      <c r="U3" s="52">
        <f>Supuestos!W17</f>
        <v>0</v>
      </c>
      <c r="V3" s="52">
        <f>Supuestos!X17</f>
        <v>0</v>
      </c>
      <c r="W3" s="52">
        <f>Supuestos!Y17</f>
        <v>0</v>
      </c>
      <c r="X3" s="52">
        <f>Supuestos!Z17</f>
        <v>0</v>
      </c>
      <c r="Y3" s="52">
        <f>Supuestos!AA17</f>
        <v>0</v>
      </c>
      <c r="Z3" s="52">
        <f>Supuestos!AB17</f>
        <v>0</v>
      </c>
      <c r="AA3" s="52">
        <f>Supuestos!AC17</f>
        <v>0</v>
      </c>
      <c r="AB3" s="52">
        <f>Supuestos!AD17</f>
        <v>0</v>
      </c>
      <c r="AC3" s="52">
        <f>Supuestos!AE17</f>
        <v>0</v>
      </c>
      <c r="AD3" s="52">
        <f>Supuestos!AF17</f>
        <v>0</v>
      </c>
      <c r="AE3" s="52">
        <f>Supuestos!AG17</f>
        <v>0</v>
      </c>
      <c r="AF3" s="52">
        <f>Supuestos!AH17</f>
        <v>0</v>
      </c>
      <c r="AG3" s="52">
        <f>Supuestos!AI17</f>
        <v>0</v>
      </c>
      <c r="AH3" s="52">
        <f>Supuestos!AJ17</f>
        <v>0</v>
      </c>
      <c r="AI3" s="52">
        <f>Supuestos!AK17</f>
        <v>0</v>
      </c>
      <c r="AJ3" s="52">
        <f>Supuestos!AL17</f>
        <v>0</v>
      </c>
      <c r="AK3" s="52">
        <f>Supuestos!AM17</f>
        <v>0</v>
      </c>
      <c r="AL3" s="52">
        <f>Supuestos!AN17</f>
        <v>0</v>
      </c>
      <c r="AM3" s="52">
        <f>Supuestos!AO17</f>
        <v>0</v>
      </c>
      <c r="AN3" s="52">
        <f>Supuestos!AP17</f>
        <v>0</v>
      </c>
      <c r="AO3" s="52">
        <f>Supuestos!AQ17</f>
        <v>0</v>
      </c>
      <c r="AP3" s="52">
        <f>Supuestos!AR17</f>
        <v>0</v>
      </c>
      <c r="AQ3" s="52">
        <f>Supuestos!AS17</f>
        <v>0</v>
      </c>
      <c r="AR3" s="52">
        <f>Supuestos!AT17</f>
        <v>0</v>
      </c>
      <c r="AS3" s="52">
        <f>Supuestos!AU17</f>
        <v>0</v>
      </c>
      <c r="AT3" s="52">
        <f>Supuestos!AV17</f>
        <v>0</v>
      </c>
      <c r="AU3" s="52">
        <f>Supuestos!AW17</f>
        <v>0</v>
      </c>
      <c r="AV3" s="52">
        <f>Supuestos!AX17</f>
        <v>0</v>
      </c>
      <c r="AW3" s="52">
        <f>Supuestos!AY17</f>
        <v>0</v>
      </c>
      <c r="AX3" s="52">
        <f>Supuestos!AZ17</f>
        <v>0</v>
      </c>
      <c r="AY3" s="52">
        <f>Supuestos!BA17</f>
        <v>0</v>
      </c>
    </row>
    <row r="4" spans="2:51 16384:16384" ht="16">
      <c r="B4" s="51" t="s">
        <v>303</v>
      </c>
      <c r="C4" s="52"/>
      <c r="D4" s="52">
        <f>'Deuda a emitir'!B$25*Supuestos!F69</f>
        <v>0</v>
      </c>
      <c r="E4" s="52" t="e">
        <f>'Deuda a emitir'!C$25*Supuestos!G69</f>
        <v>#DIV/0!</v>
      </c>
      <c r="F4" s="52" t="e">
        <f>'Deuda a emitir'!D$25*Supuestos!H69</f>
        <v>#DIV/0!</v>
      </c>
      <c r="G4" s="52" t="e">
        <f>'Deuda a emitir'!E$25*Supuestos!I69</f>
        <v>#DIV/0!</v>
      </c>
      <c r="H4" s="52" t="e">
        <f>'Deuda a emitir'!F$25*Supuestos!J69</f>
        <v>#DIV/0!</v>
      </c>
      <c r="I4" s="52" t="e">
        <f>'Deuda a emitir'!G$25*Supuestos!K69</f>
        <v>#DIV/0!</v>
      </c>
      <c r="J4" s="52" t="e">
        <f>'Deuda a emitir'!H$25*Supuestos!L69</f>
        <v>#DIV/0!</v>
      </c>
      <c r="K4" s="52" t="e">
        <f>'Deuda a emitir'!I$25*Supuestos!M69</f>
        <v>#DIV/0!</v>
      </c>
      <c r="L4" s="52" t="e">
        <f>'Deuda a emitir'!J$25*Supuestos!N69</f>
        <v>#DIV/0!</v>
      </c>
      <c r="M4" s="52" t="e">
        <f>'Deuda a emitir'!K$25*Supuestos!O69</f>
        <v>#DIV/0!</v>
      </c>
      <c r="N4" s="52" t="e">
        <f>'Deuda a emitir'!L$25*Supuestos!P69</f>
        <v>#DIV/0!</v>
      </c>
      <c r="O4" s="52" t="e">
        <f>'Deuda a emitir'!M$25*Supuestos!Q69</f>
        <v>#DIV/0!</v>
      </c>
      <c r="P4" s="52"/>
      <c r="Q4" s="52"/>
      <c r="R4" s="52"/>
    </row>
    <row r="5" spans="2:51 16384:16384" ht="16">
      <c r="B5" s="51" t="s">
        <v>173</v>
      </c>
      <c r="C5" s="57"/>
      <c r="D5" s="57">
        <f>'Deuda a emitir'!B$35*Supuestos!F69</f>
        <v>0</v>
      </c>
      <c r="E5" s="57">
        <f>'Deuda a emitir'!C$35*Supuestos!G69</f>
        <v>0</v>
      </c>
      <c r="F5" s="57">
        <f>'Deuda a emitir'!D$35*Supuestos!H69</f>
        <v>0</v>
      </c>
      <c r="G5" s="57">
        <f>'Deuda a emitir'!E$35*Supuestos!I69</f>
        <v>0</v>
      </c>
      <c r="H5" s="57">
        <f>'Deuda a emitir'!F$35*Supuestos!J69</f>
        <v>0</v>
      </c>
      <c r="I5" s="57">
        <f>'Deuda a emitir'!G$35*Supuestos!K69</f>
        <v>0</v>
      </c>
      <c r="J5" s="57">
        <f>'Deuda a emitir'!H$35*Supuestos!L69</f>
        <v>0</v>
      </c>
      <c r="K5" s="57">
        <f>'Deuda a emitir'!I$35*Supuestos!M69</f>
        <v>0</v>
      </c>
      <c r="L5" s="57">
        <f>'Deuda a emitir'!J$35*Supuestos!N69</f>
        <v>0</v>
      </c>
      <c r="M5" s="57">
        <f>'Deuda a emitir'!K$35*Supuestos!O69</f>
        <v>0</v>
      </c>
      <c r="N5" s="57">
        <f>'Deuda a emitir'!L$35*Supuestos!P69</f>
        <v>0</v>
      </c>
      <c r="O5" s="57">
        <f>'Deuda a emitir'!M$35*Supuestos!Q69</f>
        <v>0</v>
      </c>
      <c r="P5" s="52"/>
      <c r="Q5" s="52"/>
      <c r="R5" s="52"/>
      <c r="XFD5" s="37">
        <f>SUM(A5:XFC5)</f>
        <v>0</v>
      </c>
    </row>
    <row r="6" spans="2:51 16384:16384" s="35" customFormat="1" ht="16">
      <c r="B6" s="58" t="s">
        <v>174</v>
      </c>
      <c r="C6" s="59"/>
      <c r="D6" s="59">
        <f t="shared" ref="D6:N6" si="0">+(D4+D5)</f>
        <v>0</v>
      </c>
      <c r="E6" s="59" t="e">
        <f t="shared" si="0"/>
        <v>#DIV/0!</v>
      </c>
      <c r="F6" s="59" t="e">
        <f t="shared" si="0"/>
        <v>#DIV/0!</v>
      </c>
      <c r="G6" s="59" t="e">
        <f t="shared" si="0"/>
        <v>#DIV/0!</v>
      </c>
      <c r="H6" s="59" t="e">
        <f t="shared" si="0"/>
        <v>#DIV/0!</v>
      </c>
      <c r="I6" s="59" t="e">
        <f t="shared" si="0"/>
        <v>#DIV/0!</v>
      </c>
      <c r="J6" s="59" t="e">
        <f t="shared" si="0"/>
        <v>#DIV/0!</v>
      </c>
      <c r="K6" s="59" t="e">
        <f t="shared" si="0"/>
        <v>#DIV/0!</v>
      </c>
      <c r="L6" s="59" t="e">
        <f t="shared" si="0"/>
        <v>#DIV/0!</v>
      </c>
      <c r="M6" s="59" t="e">
        <f t="shared" si="0"/>
        <v>#DIV/0!</v>
      </c>
      <c r="N6" s="59" t="e">
        <f t="shared" si="0"/>
        <v>#DIV/0!</v>
      </c>
      <c r="O6" s="59" t="e">
        <f t="shared" ref="O6" si="1">+(O4+O5)</f>
        <v>#DIV/0!</v>
      </c>
      <c r="P6" s="60"/>
      <c r="Q6" s="60"/>
      <c r="R6" s="60"/>
    </row>
    <row r="7" spans="2:51 16384:16384" s="399" customFormat="1" ht="16">
      <c r="B7" s="396" t="s">
        <v>176</v>
      </c>
      <c r="C7" s="397"/>
      <c r="D7" s="447" t="e">
        <f>D4/D$3</f>
        <v>#DIV/0!</v>
      </c>
      <c r="E7" s="447" t="e">
        <f t="shared" ref="E7:N7" si="2">E4/E$3</f>
        <v>#DIV/0!</v>
      </c>
      <c r="F7" s="447" t="e">
        <f t="shared" si="2"/>
        <v>#DIV/0!</v>
      </c>
      <c r="G7" s="447" t="e">
        <f t="shared" si="2"/>
        <v>#DIV/0!</v>
      </c>
      <c r="H7" s="447" t="e">
        <f t="shared" si="2"/>
        <v>#DIV/0!</v>
      </c>
      <c r="I7" s="447" t="e">
        <f t="shared" si="2"/>
        <v>#DIV/0!</v>
      </c>
      <c r="J7" s="447" t="e">
        <f t="shared" si="2"/>
        <v>#DIV/0!</v>
      </c>
      <c r="K7" s="447" t="e">
        <f t="shared" si="2"/>
        <v>#DIV/0!</v>
      </c>
      <c r="L7" s="447" t="e">
        <f t="shared" si="2"/>
        <v>#DIV/0!</v>
      </c>
      <c r="M7" s="447" t="e">
        <f t="shared" si="2"/>
        <v>#DIV/0!</v>
      </c>
      <c r="N7" s="447" t="e">
        <f t="shared" si="2"/>
        <v>#DIV/0!</v>
      </c>
      <c r="O7" s="447" t="e">
        <f t="shared" ref="O7" si="3">O4/O$3</f>
        <v>#DIV/0!</v>
      </c>
      <c r="P7" s="398"/>
      <c r="Q7" s="398"/>
      <c r="R7" s="398"/>
    </row>
    <row r="8" spans="2:51 16384:16384" s="399" customFormat="1" ht="16">
      <c r="B8" s="396" t="s">
        <v>177</v>
      </c>
      <c r="C8" s="397"/>
      <c r="D8" s="447" t="e">
        <f t="shared" ref="D8:M8" si="4">D5/D$3</f>
        <v>#DIV/0!</v>
      </c>
      <c r="E8" s="447" t="e">
        <f t="shared" si="4"/>
        <v>#DIV/0!</v>
      </c>
      <c r="F8" s="447" t="e">
        <f t="shared" si="4"/>
        <v>#DIV/0!</v>
      </c>
      <c r="G8" s="447" t="e">
        <f t="shared" si="4"/>
        <v>#DIV/0!</v>
      </c>
      <c r="H8" s="447" t="e">
        <f t="shared" si="4"/>
        <v>#DIV/0!</v>
      </c>
      <c r="I8" s="447" t="e">
        <f t="shared" si="4"/>
        <v>#DIV/0!</v>
      </c>
      <c r="J8" s="447" t="e">
        <f t="shared" si="4"/>
        <v>#DIV/0!</v>
      </c>
      <c r="K8" s="447" t="e">
        <f t="shared" si="4"/>
        <v>#DIV/0!</v>
      </c>
      <c r="L8" s="447" t="e">
        <f t="shared" si="4"/>
        <v>#DIV/0!</v>
      </c>
      <c r="M8" s="447" t="e">
        <f t="shared" si="4"/>
        <v>#DIV/0!</v>
      </c>
      <c r="N8" s="447" t="e">
        <f>N5/N$3</f>
        <v>#DIV/0!</v>
      </c>
      <c r="O8" s="447" t="e">
        <f t="shared" ref="O8" si="5">O5/O$3</f>
        <v>#DIV/0!</v>
      </c>
      <c r="P8" s="398"/>
      <c r="Q8" s="398"/>
      <c r="R8" s="398"/>
    </row>
    <row r="9" spans="2:51 16384:16384" s="407" customFormat="1" ht="16">
      <c r="B9" s="404" t="s">
        <v>178</v>
      </c>
      <c r="C9" s="405"/>
      <c r="D9" s="449" t="e">
        <f t="shared" ref="D9:M9" si="6">D6/D$3</f>
        <v>#DIV/0!</v>
      </c>
      <c r="E9" s="449" t="e">
        <f t="shared" si="6"/>
        <v>#DIV/0!</v>
      </c>
      <c r="F9" s="449" t="e">
        <f t="shared" si="6"/>
        <v>#DIV/0!</v>
      </c>
      <c r="G9" s="449" t="e">
        <f t="shared" si="6"/>
        <v>#DIV/0!</v>
      </c>
      <c r="H9" s="449" t="e">
        <f t="shared" si="6"/>
        <v>#DIV/0!</v>
      </c>
      <c r="I9" s="449" t="e">
        <f t="shared" si="6"/>
        <v>#DIV/0!</v>
      </c>
      <c r="J9" s="449" t="e">
        <f t="shared" si="6"/>
        <v>#DIV/0!</v>
      </c>
      <c r="K9" s="449" t="e">
        <f t="shared" si="6"/>
        <v>#DIV/0!</v>
      </c>
      <c r="L9" s="449" t="e">
        <f t="shared" si="6"/>
        <v>#DIV/0!</v>
      </c>
      <c r="M9" s="449" t="e">
        <f t="shared" si="6"/>
        <v>#DIV/0!</v>
      </c>
      <c r="N9" s="449" t="e">
        <f>N6/N$3</f>
        <v>#DIV/0!</v>
      </c>
      <c r="O9" s="449" t="e">
        <f t="shared" ref="O9" si="7">O6/O$3</f>
        <v>#DIV/0!</v>
      </c>
      <c r="P9" s="406"/>
      <c r="Q9" s="406"/>
      <c r="R9" s="406"/>
    </row>
    <row r="10" spans="2:51 16384:16384">
      <c r="B10" s="75"/>
      <c r="C10" s="76"/>
      <c r="D10" s="76"/>
      <c r="E10" s="76"/>
      <c r="F10" s="76"/>
      <c r="G10" s="76"/>
      <c r="H10" s="76"/>
      <c r="I10" s="76"/>
      <c r="J10" s="76"/>
      <c r="K10" s="76"/>
      <c r="L10" s="76"/>
      <c r="M10" s="76"/>
      <c r="N10" s="76"/>
      <c r="O10" s="76"/>
      <c r="P10" s="52"/>
      <c r="Q10" s="52"/>
      <c r="R10" s="52"/>
    </row>
    <row r="11" spans="2:51 16384:16384" ht="16">
      <c r="B11" s="51" t="s">
        <v>175</v>
      </c>
      <c r="C11" s="53"/>
      <c r="D11" s="53">
        <f t="shared" ref="D11:N11" si="8">-SUM(D39,D69,D118)</f>
        <v>0</v>
      </c>
      <c r="E11" s="53" t="e">
        <f t="shared" si="8"/>
        <v>#DIV/0!</v>
      </c>
      <c r="F11" s="53" t="e">
        <f t="shared" si="8"/>
        <v>#DIV/0!</v>
      </c>
      <c r="G11" s="53" t="e">
        <f t="shared" si="8"/>
        <v>#DIV/0!</v>
      </c>
      <c r="H11" s="53" t="e">
        <f t="shared" si="8"/>
        <v>#DIV/0!</v>
      </c>
      <c r="I11" s="53" t="e">
        <f t="shared" si="8"/>
        <v>#DIV/0!</v>
      </c>
      <c r="J11" s="53" t="e">
        <f t="shared" si="8"/>
        <v>#DIV/0!</v>
      </c>
      <c r="K11" s="53" t="e">
        <f t="shared" si="8"/>
        <v>#DIV/0!</v>
      </c>
      <c r="L11" s="53" t="e">
        <f t="shared" si="8"/>
        <v>#DIV/0!</v>
      </c>
      <c r="M11" s="53" t="e">
        <f t="shared" si="8"/>
        <v>#DIV/0!</v>
      </c>
      <c r="N11" s="53" t="e">
        <f t="shared" si="8"/>
        <v>#DIV/0!</v>
      </c>
      <c r="O11" s="53" t="e">
        <f t="shared" ref="O11" si="9">-SUM(O39,O69,O118)</f>
        <v>#DIV/0!</v>
      </c>
      <c r="P11" s="52"/>
      <c r="Q11" s="52"/>
      <c r="R11" s="52"/>
    </row>
    <row r="12" spans="2:51 16384:16384" s="399" customFormat="1" ht="16">
      <c r="B12" s="396" t="s">
        <v>180</v>
      </c>
      <c r="C12" s="397"/>
      <c r="D12" s="447" t="e">
        <f t="shared" ref="D12:N12" si="10">D11/D3</f>
        <v>#DIV/0!</v>
      </c>
      <c r="E12" s="447" t="e">
        <f t="shared" si="10"/>
        <v>#DIV/0!</v>
      </c>
      <c r="F12" s="447" t="e">
        <f t="shared" si="10"/>
        <v>#DIV/0!</v>
      </c>
      <c r="G12" s="447" t="e">
        <f t="shared" si="10"/>
        <v>#DIV/0!</v>
      </c>
      <c r="H12" s="447" t="e">
        <f t="shared" si="10"/>
        <v>#DIV/0!</v>
      </c>
      <c r="I12" s="447" t="e">
        <f t="shared" si="10"/>
        <v>#DIV/0!</v>
      </c>
      <c r="J12" s="447" t="e">
        <f t="shared" si="10"/>
        <v>#DIV/0!</v>
      </c>
      <c r="K12" s="447" t="e">
        <f t="shared" si="10"/>
        <v>#DIV/0!</v>
      </c>
      <c r="L12" s="447" t="e">
        <f t="shared" si="10"/>
        <v>#DIV/0!</v>
      </c>
      <c r="M12" s="447" t="e">
        <f t="shared" si="10"/>
        <v>#DIV/0!</v>
      </c>
      <c r="N12" s="447" t="e">
        <f t="shared" si="10"/>
        <v>#DIV/0!</v>
      </c>
      <c r="O12" s="447" t="e">
        <f t="shared" ref="O12" si="11">O11/O3</f>
        <v>#DIV/0!</v>
      </c>
      <c r="P12" s="398"/>
      <c r="Q12" s="398"/>
      <c r="R12" s="398"/>
    </row>
    <row r="13" spans="2:51 16384:16384" ht="16">
      <c r="B13" s="278" t="s">
        <v>114</v>
      </c>
      <c r="C13" s="53"/>
      <c r="D13" s="53">
        <f t="shared" ref="D13:N13" si="12">-SUM(D40,D70,D119)</f>
        <v>0</v>
      </c>
      <c r="E13" s="53">
        <f t="shared" si="12"/>
        <v>0</v>
      </c>
      <c r="F13" s="53">
        <f t="shared" si="12"/>
        <v>0</v>
      </c>
      <c r="G13" s="53">
        <f t="shared" si="12"/>
        <v>0</v>
      </c>
      <c r="H13" s="53">
        <f t="shared" si="12"/>
        <v>0</v>
      </c>
      <c r="I13" s="53">
        <f t="shared" si="12"/>
        <v>0</v>
      </c>
      <c r="J13" s="53">
        <f t="shared" si="12"/>
        <v>0</v>
      </c>
      <c r="K13" s="53">
        <f t="shared" si="12"/>
        <v>0</v>
      </c>
      <c r="L13" s="53">
        <f t="shared" si="12"/>
        <v>0</v>
      </c>
      <c r="M13" s="53">
        <f t="shared" si="12"/>
        <v>0</v>
      </c>
      <c r="N13" s="53">
        <f t="shared" si="12"/>
        <v>0</v>
      </c>
      <c r="O13" s="53">
        <f t="shared" ref="O13" si="13">-SUM(O40,O70,O119)</f>
        <v>0</v>
      </c>
      <c r="P13" s="52"/>
      <c r="Q13" s="52"/>
      <c r="R13" s="52"/>
    </row>
    <row r="14" spans="2:51 16384:16384" s="399" customFormat="1" ht="16">
      <c r="B14" s="396" t="s">
        <v>138</v>
      </c>
      <c r="C14" s="397"/>
      <c r="D14" s="447">
        <f>SUMIF($B$22:C$22,"="&amp;D2,$B$27:C$27)+SUMIF($B$47:C$47,"="&amp;D2,$B$52:C$52)+SUMIF($B$76:C$76,"="&amp;D2,$B$81:C$81)</f>
        <v>0</v>
      </c>
      <c r="E14" s="447">
        <f>SUMIF($B$22:D$22,"="&amp;E2,$B$27:D$27)+SUMIF($B$47:D$47,"="&amp;E2,$B$52:D$52)+SUMIF($B$76:D$76,"="&amp;E2,$B$81:D$81)</f>
        <v>0</v>
      </c>
      <c r="F14" s="447">
        <f>SUMIF($B$22:E$22,"="&amp;F2,$B$27:E$27)+SUMIF($B$47:E$47,"="&amp;F2,$B$52:E$52)+SUMIF($B$76:E$76,"="&amp;F2,$B$81:E$81)</f>
        <v>0</v>
      </c>
      <c r="G14" s="447">
        <f>SUMIF($B$22:F$22,"="&amp;G2,$B$27:F$27)+SUMIF($B$47:F$47,"="&amp;G2,$B$52:F$52)+SUMIF($B$76:F$76,"="&amp;G2,$B$81:F$81)</f>
        <v>0</v>
      </c>
      <c r="H14" s="447">
        <f>SUMIF($B$22:G$22,"="&amp;H2,$B$27:G$27)+SUMIF($B$47:G$47,"="&amp;H2,$B$52:G$52)+SUMIF($B$76:G$76,"="&amp;H2,$B$81:G$81)</f>
        <v>0</v>
      </c>
      <c r="I14" s="447" t="e">
        <f>SUMIF($B$22:H$22,"="&amp;I2,$B$27:H$27)+SUMIF($B$47:H$47,"="&amp;I2,$B$52:H$52)+SUMIF($B$76:H$76,"="&amp;I2,$B$81:H$81)</f>
        <v>#DIV/0!</v>
      </c>
      <c r="J14" s="447" t="e">
        <f>SUMIF($B$22:I$22,"="&amp;J2,$B$27:I$27)+SUMIF($B$47:I$47,"="&amp;J2,$B$52:I$52)+SUMIF($B$76:I$76,"="&amp;J2,$B$81:I$81)</f>
        <v>#DIV/0!</v>
      </c>
      <c r="K14" s="447" t="e">
        <f>SUMIF($B$22:J$22,"="&amp;K2,$B$27:J$27)+SUMIF($B$47:J$47,"="&amp;K2,$B$52:J$52)+SUMIF($B$76:J$76,"="&amp;K2,$B$81:J$81)</f>
        <v>#DIV/0!</v>
      </c>
      <c r="L14" s="447" t="e">
        <f>SUMIF($B$22:K$22,"="&amp;L2,$B$27:K$27)+SUMIF($B$47:K$47,"="&amp;L2,$B$52:K$52)+SUMIF($B$76:K$76,"="&amp;L2,$B$81:K$81)</f>
        <v>#DIV/0!</v>
      </c>
      <c r="M14" s="447" t="e">
        <f>SUMIF($B$22:L$22,"="&amp;M2,$B$27:L$27)+SUMIF($B$47:L$47,"="&amp;M2,$B$52:L$52)+SUMIF($B$76:L$76,"="&amp;M2,$B$81:L$81)</f>
        <v>#DIV/0!</v>
      </c>
      <c r="N14" s="447" t="e">
        <f>SUMIF($B$22:M$22,"="&amp;N2,$B$27:M$27)+SUMIF($B$47:M$47,"="&amp;N2,$B$52:M$52)+SUMIF($B$76:M$76,"="&amp;N2,$B$81:M$81)</f>
        <v>#DIV/0!</v>
      </c>
      <c r="O14" s="447" t="e">
        <f>SUMIF($B$22:N$22,"="&amp;O2,$B$27:N$27)+SUMIF($B$47:N$47,"="&amp;O2,$B$52:N$52)+SUMIF($B$76:N$76,"="&amp;O2,$B$81:N$81)</f>
        <v>#DIV/0!</v>
      </c>
      <c r="P14" s="398"/>
      <c r="Q14" s="398"/>
      <c r="R14" s="398"/>
    </row>
    <row r="15" spans="2:51 16384:16384" ht="16">
      <c r="B15" s="51" t="s">
        <v>139</v>
      </c>
      <c r="C15" s="53"/>
      <c r="D15" s="53">
        <f t="shared" ref="D15:N15" si="14">D14*D3</f>
        <v>0</v>
      </c>
      <c r="E15" s="53">
        <f t="shared" si="14"/>
        <v>0</v>
      </c>
      <c r="F15" s="53">
        <f t="shared" si="14"/>
        <v>0</v>
      </c>
      <c r="G15" s="53">
        <f t="shared" si="14"/>
        <v>0</v>
      </c>
      <c r="H15" s="53">
        <f t="shared" si="14"/>
        <v>0</v>
      </c>
      <c r="I15" s="53" t="e">
        <f t="shared" si="14"/>
        <v>#DIV/0!</v>
      </c>
      <c r="J15" s="53" t="e">
        <f t="shared" si="14"/>
        <v>#DIV/0!</v>
      </c>
      <c r="K15" s="53" t="e">
        <f t="shared" si="14"/>
        <v>#DIV/0!</v>
      </c>
      <c r="L15" s="53" t="e">
        <f t="shared" si="14"/>
        <v>#DIV/0!</v>
      </c>
      <c r="M15" s="53" t="e">
        <f t="shared" si="14"/>
        <v>#DIV/0!</v>
      </c>
      <c r="N15" s="53" t="e">
        <f t="shared" si="14"/>
        <v>#DIV/0!</v>
      </c>
      <c r="O15" s="53" t="e">
        <f t="shared" ref="O15" si="15">O14*O3</f>
        <v>#DIV/0!</v>
      </c>
      <c r="P15" s="53"/>
      <c r="Q15" s="52"/>
      <c r="R15" s="52"/>
    </row>
    <row r="16" spans="2:51 16384:16384" ht="16">
      <c r="B16" s="51" t="s">
        <v>179</v>
      </c>
      <c r="C16" s="53"/>
      <c r="D16" s="53" t="e">
        <f t="shared" ref="D16:N16" si="16">SUM(D30,D55,D84)*0</f>
        <v>#DIV/0!</v>
      </c>
      <c r="E16" s="53" t="e">
        <f t="shared" si="16"/>
        <v>#DIV/0!</v>
      </c>
      <c r="F16" s="53" t="e">
        <f t="shared" si="16"/>
        <v>#DIV/0!</v>
      </c>
      <c r="G16" s="53" t="e">
        <f t="shared" si="16"/>
        <v>#DIV/0!</v>
      </c>
      <c r="H16" s="53" t="e">
        <f t="shared" si="16"/>
        <v>#DIV/0!</v>
      </c>
      <c r="I16" s="53" t="e">
        <f t="shared" si="16"/>
        <v>#DIV/0!</v>
      </c>
      <c r="J16" s="53" t="e">
        <f t="shared" si="16"/>
        <v>#DIV/0!</v>
      </c>
      <c r="K16" s="53" t="e">
        <f t="shared" si="16"/>
        <v>#DIV/0!</v>
      </c>
      <c r="L16" s="53" t="e">
        <f t="shared" si="16"/>
        <v>#DIV/0!</v>
      </c>
      <c r="M16" s="53" t="e">
        <f t="shared" si="16"/>
        <v>#DIV/0!</v>
      </c>
      <c r="N16" s="53" t="e">
        <f t="shared" si="16"/>
        <v>#DIV/0!</v>
      </c>
      <c r="O16" s="53" t="e">
        <f t="shared" ref="O16" si="17">SUM(O30,O55,O84)*0</f>
        <v>#DIV/0!</v>
      </c>
      <c r="P16" s="52"/>
      <c r="Q16" s="52"/>
      <c r="R16" s="52"/>
    </row>
    <row r="18" spans="2:18">
      <c r="B18" s="49">
        <v>5</v>
      </c>
      <c r="C18" s="50">
        <v>2022</v>
      </c>
      <c r="D18" s="50">
        <v>2023</v>
      </c>
      <c r="E18" s="50">
        <v>2024</v>
      </c>
      <c r="F18" s="50">
        <v>2025</v>
      </c>
      <c r="G18" s="50">
        <v>2026</v>
      </c>
      <c r="H18" s="50">
        <v>2027</v>
      </c>
      <c r="I18" s="50">
        <v>2028</v>
      </c>
      <c r="J18" s="50">
        <v>2029</v>
      </c>
      <c r="K18" s="50">
        <v>2030</v>
      </c>
      <c r="L18" s="50">
        <v>2031</v>
      </c>
      <c r="M18" s="50">
        <v>2032</v>
      </c>
      <c r="N18" s="50">
        <v>2033</v>
      </c>
      <c r="O18" s="50">
        <v>2034</v>
      </c>
    </row>
    <row r="19" spans="2:18" ht="16">
      <c r="B19" s="51" t="s">
        <v>105</v>
      </c>
      <c r="C19" s="54"/>
      <c r="D19" s="54">
        <f>Supuestos!F92</f>
        <v>0</v>
      </c>
      <c r="E19" s="54">
        <f>Supuestos!G92</f>
        <v>0</v>
      </c>
      <c r="F19" s="54">
        <f>Supuestos!H92</f>
        <v>0</v>
      </c>
      <c r="G19" s="54">
        <f>Supuestos!I92</f>
        <v>0</v>
      </c>
      <c r="H19" s="54">
        <f>Supuestos!J92</f>
        <v>0</v>
      </c>
      <c r="I19" s="54">
        <f>Supuestos!K92</f>
        <v>0</v>
      </c>
      <c r="J19" s="54">
        <f>Supuestos!L92</f>
        <v>0</v>
      </c>
      <c r="K19" s="54">
        <f>Supuestos!M92</f>
        <v>0</v>
      </c>
      <c r="L19" s="54">
        <f>Supuestos!N92</f>
        <v>0</v>
      </c>
      <c r="M19" s="54">
        <f>Supuestos!O92</f>
        <v>0</v>
      </c>
      <c r="N19" s="54">
        <f>Supuestos!P92</f>
        <v>0</v>
      </c>
      <c r="O19" s="54">
        <f>Supuestos!Q92</f>
        <v>0</v>
      </c>
    </row>
    <row r="20" spans="2:18" ht="16">
      <c r="B20" s="51" t="s">
        <v>89</v>
      </c>
      <c r="C20" s="54"/>
      <c r="D20" s="54">
        <f>Supuestos!F93</f>
        <v>0</v>
      </c>
      <c r="E20" s="54">
        <f>Supuestos!G93</f>
        <v>0</v>
      </c>
      <c r="F20" s="54">
        <f>Supuestos!H93</f>
        <v>0</v>
      </c>
      <c r="G20" s="54">
        <f>Supuestos!I93</f>
        <v>0</v>
      </c>
      <c r="H20" s="54">
        <f>Supuestos!J93</f>
        <v>0</v>
      </c>
      <c r="I20" s="54">
        <f>Supuestos!K93</f>
        <v>0</v>
      </c>
      <c r="J20" s="54">
        <f>Supuestos!L93</f>
        <v>0</v>
      </c>
      <c r="K20" s="54">
        <f>Supuestos!M93</f>
        <v>0</v>
      </c>
      <c r="L20" s="54">
        <f>Supuestos!N93</f>
        <v>0</v>
      </c>
      <c r="M20" s="54">
        <f>Supuestos!O93</f>
        <v>0</v>
      </c>
      <c r="N20" s="54">
        <f>Supuestos!P93</f>
        <v>0</v>
      </c>
      <c r="O20" s="54">
        <f>Supuestos!Q93</f>
        <v>0</v>
      </c>
    </row>
    <row r="21" spans="2:18" ht="16">
      <c r="B21" s="51" t="s">
        <v>90</v>
      </c>
      <c r="C21" s="56"/>
      <c r="D21" s="56">
        <f>Supuestos!F94</f>
        <v>5</v>
      </c>
      <c r="E21" s="56">
        <f>Supuestos!G94</f>
        <v>5</v>
      </c>
      <c r="F21" s="56">
        <f>Supuestos!H94</f>
        <v>5</v>
      </c>
      <c r="G21" s="56">
        <f>Supuestos!I94</f>
        <v>5</v>
      </c>
      <c r="H21" s="56">
        <f>Supuestos!J94</f>
        <v>5</v>
      </c>
      <c r="I21" s="56">
        <f>Supuestos!K94</f>
        <v>5</v>
      </c>
      <c r="J21" s="56">
        <f>Supuestos!L94</f>
        <v>5</v>
      </c>
      <c r="K21" s="56">
        <f>Supuestos!M94</f>
        <v>5</v>
      </c>
      <c r="L21" s="56">
        <f>Supuestos!N94</f>
        <v>5</v>
      </c>
      <c r="M21" s="56">
        <f>Supuestos!O94</f>
        <v>5</v>
      </c>
      <c r="N21" s="56">
        <f>Supuestos!P94</f>
        <v>5</v>
      </c>
      <c r="O21" s="56">
        <f>Supuestos!Q94</f>
        <v>5</v>
      </c>
    </row>
    <row r="22" spans="2:18" ht="16">
      <c r="B22" s="51" t="s">
        <v>79</v>
      </c>
      <c r="C22" s="56"/>
      <c r="D22" s="56">
        <f t="shared" ref="D22:N22" si="18">D18+D21</f>
        <v>2028</v>
      </c>
      <c r="E22" s="56">
        <f t="shared" si="18"/>
        <v>2029</v>
      </c>
      <c r="F22" s="56">
        <f t="shared" si="18"/>
        <v>2030</v>
      </c>
      <c r="G22" s="56">
        <f t="shared" si="18"/>
        <v>2031</v>
      </c>
      <c r="H22" s="56">
        <f t="shared" si="18"/>
        <v>2032</v>
      </c>
      <c r="I22" s="56">
        <f t="shared" si="18"/>
        <v>2033</v>
      </c>
      <c r="J22" s="56">
        <f t="shared" si="18"/>
        <v>2034</v>
      </c>
      <c r="K22" s="56">
        <f t="shared" si="18"/>
        <v>2035</v>
      </c>
      <c r="L22" s="56">
        <f t="shared" si="18"/>
        <v>2036</v>
      </c>
      <c r="M22" s="56">
        <f t="shared" si="18"/>
        <v>2037</v>
      </c>
      <c r="N22" s="56">
        <f t="shared" si="18"/>
        <v>2038</v>
      </c>
      <c r="O22" s="56">
        <f t="shared" ref="O22" si="19">O18+O21</f>
        <v>2039</v>
      </c>
    </row>
    <row r="23" spans="2:18" ht="16">
      <c r="B23" s="51" t="s">
        <v>107</v>
      </c>
      <c r="C23" s="54"/>
      <c r="D23" s="54">
        <f>Supuestos!F88</f>
        <v>0</v>
      </c>
      <c r="E23" s="54">
        <f>Supuestos!G88</f>
        <v>0</v>
      </c>
      <c r="F23" s="54">
        <f>Supuestos!H88</f>
        <v>0</v>
      </c>
      <c r="G23" s="54">
        <f>Supuestos!I88</f>
        <v>0</v>
      </c>
      <c r="H23" s="54">
        <f>Supuestos!J88</f>
        <v>0</v>
      </c>
      <c r="I23" s="54">
        <f>Supuestos!K88</f>
        <v>0</v>
      </c>
      <c r="J23" s="54">
        <f>Supuestos!L88</f>
        <v>0</v>
      </c>
      <c r="K23" s="54">
        <f>Supuestos!M88</f>
        <v>0</v>
      </c>
      <c r="L23" s="54">
        <f>Supuestos!N88</f>
        <v>0</v>
      </c>
      <c r="M23" s="54">
        <f>Supuestos!O88</f>
        <v>0</v>
      </c>
      <c r="N23" s="54">
        <f>Supuestos!P88</f>
        <v>0</v>
      </c>
      <c r="O23" s="54">
        <f>Supuestos!Q88</f>
        <v>0</v>
      </c>
    </row>
    <row r="24" spans="2:18" ht="16">
      <c r="B24" s="51" t="s">
        <v>303</v>
      </c>
      <c r="C24" s="52"/>
      <c r="D24" s="52">
        <f t="shared" ref="D24:N24" si="20">D$4*D23</f>
        <v>0</v>
      </c>
      <c r="E24" s="52" t="e">
        <f t="shared" si="20"/>
        <v>#DIV/0!</v>
      </c>
      <c r="F24" s="52" t="e">
        <f t="shared" si="20"/>
        <v>#DIV/0!</v>
      </c>
      <c r="G24" s="52" t="e">
        <f t="shared" si="20"/>
        <v>#DIV/0!</v>
      </c>
      <c r="H24" s="52" t="e">
        <f t="shared" si="20"/>
        <v>#DIV/0!</v>
      </c>
      <c r="I24" s="52" t="e">
        <f t="shared" si="20"/>
        <v>#DIV/0!</v>
      </c>
      <c r="J24" s="52" t="e">
        <f t="shared" si="20"/>
        <v>#DIV/0!</v>
      </c>
      <c r="K24" s="52" t="e">
        <f t="shared" si="20"/>
        <v>#DIV/0!</v>
      </c>
      <c r="L24" s="52" t="e">
        <f t="shared" si="20"/>
        <v>#DIV/0!</v>
      </c>
      <c r="M24" s="52" t="e">
        <f t="shared" si="20"/>
        <v>#DIV/0!</v>
      </c>
      <c r="N24" s="52" t="e">
        <f t="shared" si="20"/>
        <v>#DIV/0!</v>
      </c>
      <c r="O24" s="52" t="e">
        <f t="shared" ref="O24" si="21">O$4*O23</f>
        <v>#DIV/0!</v>
      </c>
    </row>
    <row r="25" spans="2:18" ht="16">
      <c r="B25" s="51" t="s">
        <v>173</v>
      </c>
      <c r="C25" s="52"/>
      <c r="D25" s="52">
        <f>'Deuda a emitir'!B$35*D23</f>
        <v>0</v>
      </c>
      <c r="E25" s="52">
        <f>'Deuda a emitir'!C$35*E23</f>
        <v>0</v>
      </c>
      <c r="F25" s="52">
        <f>'Deuda a emitir'!D$35*F23</f>
        <v>0</v>
      </c>
      <c r="G25" s="52">
        <f>'Deuda a emitir'!E$35*G23</f>
        <v>0</v>
      </c>
      <c r="H25" s="52">
        <f>'Deuda a emitir'!F$35*H23</f>
        <v>0</v>
      </c>
      <c r="I25" s="52">
        <f>'Deuda a emitir'!G$35*I23</f>
        <v>0</v>
      </c>
      <c r="J25" s="52">
        <f>'Deuda a emitir'!H$35*J23</f>
        <v>0</v>
      </c>
      <c r="K25" s="52">
        <f>'Deuda a emitir'!I$35*K23</f>
        <v>0</v>
      </c>
      <c r="L25" s="52">
        <f>'Deuda a emitir'!J$35*L23</f>
        <v>0</v>
      </c>
      <c r="M25" s="52">
        <f>'Deuda a emitir'!K$35*M23</f>
        <v>0</v>
      </c>
      <c r="N25" s="52">
        <f>'Deuda a emitir'!L$35*N23</f>
        <v>0</v>
      </c>
      <c r="O25" s="52">
        <f>'Deuda a emitir'!M$35*O23</f>
        <v>0</v>
      </c>
    </row>
    <row r="26" spans="2:18" ht="16">
      <c r="B26" s="58" t="s">
        <v>110</v>
      </c>
      <c r="C26" s="60"/>
      <c r="D26" s="60">
        <f t="shared" ref="D26:N26" si="22">SUM(D24:D25)</f>
        <v>0</v>
      </c>
      <c r="E26" s="60" t="e">
        <f>SUM(E24:E25)</f>
        <v>#DIV/0!</v>
      </c>
      <c r="F26" s="60" t="e">
        <f t="shared" si="22"/>
        <v>#DIV/0!</v>
      </c>
      <c r="G26" s="60" t="e">
        <f t="shared" si="22"/>
        <v>#DIV/0!</v>
      </c>
      <c r="H26" s="60" t="e">
        <f t="shared" si="22"/>
        <v>#DIV/0!</v>
      </c>
      <c r="I26" s="60" t="e">
        <f t="shared" si="22"/>
        <v>#DIV/0!</v>
      </c>
      <c r="J26" s="60" t="e">
        <f t="shared" si="22"/>
        <v>#DIV/0!</v>
      </c>
      <c r="K26" s="60" t="e">
        <f t="shared" si="22"/>
        <v>#DIV/0!</v>
      </c>
      <c r="L26" s="60" t="e">
        <f t="shared" si="22"/>
        <v>#DIV/0!</v>
      </c>
      <c r="M26" s="60" t="e">
        <f t="shared" si="22"/>
        <v>#DIV/0!</v>
      </c>
      <c r="N26" s="60" t="e">
        <f t="shared" si="22"/>
        <v>#DIV/0!</v>
      </c>
      <c r="O26" s="60" t="e">
        <f t="shared" ref="O26" si="23">SUM(O24:O25)</f>
        <v>#DIV/0!</v>
      </c>
    </row>
    <row r="27" spans="2:18" s="399" customFormat="1" ht="16">
      <c r="B27" s="396" t="s">
        <v>111</v>
      </c>
      <c r="C27" s="398"/>
      <c r="D27" s="398" t="e">
        <f t="shared" ref="D27:N27" si="24">D26/D$3</f>
        <v>#DIV/0!</v>
      </c>
      <c r="E27" s="398" t="e">
        <f t="shared" si="24"/>
        <v>#DIV/0!</v>
      </c>
      <c r="F27" s="398" t="e">
        <f t="shared" si="24"/>
        <v>#DIV/0!</v>
      </c>
      <c r="G27" s="398" t="e">
        <f t="shared" si="24"/>
        <v>#DIV/0!</v>
      </c>
      <c r="H27" s="398" t="e">
        <f t="shared" si="24"/>
        <v>#DIV/0!</v>
      </c>
      <c r="I27" s="398" t="e">
        <f t="shared" si="24"/>
        <v>#DIV/0!</v>
      </c>
      <c r="J27" s="398" t="e">
        <f t="shared" si="24"/>
        <v>#DIV/0!</v>
      </c>
      <c r="K27" s="398" t="e">
        <f t="shared" si="24"/>
        <v>#DIV/0!</v>
      </c>
      <c r="L27" s="398" t="e">
        <f t="shared" si="24"/>
        <v>#DIV/0!</v>
      </c>
      <c r="M27" s="398" t="e">
        <f t="shared" si="24"/>
        <v>#DIV/0!</v>
      </c>
      <c r="N27" s="398" t="e">
        <f t="shared" si="24"/>
        <v>#DIV/0!</v>
      </c>
      <c r="O27" s="398" t="e">
        <f t="shared" ref="O27" si="25">O26/O$3</f>
        <v>#DIV/0!</v>
      </c>
    </row>
    <row r="28" spans="2:18" ht="16">
      <c r="B28" s="58" t="s">
        <v>120</v>
      </c>
      <c r="C28" s="60"/>
      <c r="D28" s="60" t="e">
        <f>D27*HLOOKUP((D18+D21),$D2:$AY3,2,FALSE)</f>
        <v>#DIV/0!</v>
      </c>
      <c r="E28" s="60" t="e">
        <f t="shared" ref="E28:O28" si="26">E27*HLOOKUP((E18+E21),$D2:$AY3,2,FALSE)</f>
        <v>#DIV/0!</v>
      </c>
      <c r="F28" s="60" t="e">
        <f t="shared" si="26"/>
        <v>#DIV/0!</v>
      </c>
      <c r="G28" s="60" t="e">
        <f t="shared" si="26"/>
        <v>#DIV/0!</v>
      </c>
      <c r="H28" s="60" t="e">
        <f t="shared" si="26"/>
        <v>#DIV/0!</v>
      </c>
      <c r="I28" s="60" t="e">
        <f t="shared" si="26"/>
        <v>#DIV/0!</v>
      </c>
      <c r="J28" s="60" t="e">
        <f t="shared" si="26"/>
        <v>#DIV/0!</v>
      </c>
      <c r="K28" s="60" t="e">
        <f t="shared" si="26"/>
        <v>#DIV/0!</v>
      </c>
      <c r="L28" s="60" t="e">
        <f t="shared" si="26"/>
        <v>#DIV/0!</v>
      </c>
      <c r="M28" s="60" t="e">
        <f t="shared" si="26"/>
        <v>#DIV/0!</v>
      </c>
      <c r="N28" s="60" t="e">
        <f t="shared" si="26"/>
        <v>#DIV/0!</v>
      </c>
      <c r="O28" s="60" t="e">
        <f t="shared" si="26"/>
        <v>#DIV/0!</v>
      </c>
    </row>
    <row r="29" spans="2:18">
      <c r="C29" s="52"/>
      <c r="D29" s="52"/>
      <c r="E29" s="52"/>
      <c r="F29" s="52"/>
      <c r="G29" s="52"/>
      <c r="H29" s="52"/>
      <c r="I29" s="52"/>
      <c r="J29" s="52"/>
      <c r="K29" s="52"/>
      <c r="L29" s="52"/>
      <c r="M29" s="52"/>
      <c r="N29" s="52"/>
      <c r="O29" s="52"/>
    </row>
    <row r="30" spans="2:18" ht="16">
      <c r="B30" s="51" t="s">
        <v>112</v>
      </c>
      <c r="C30" s="52"/>
      <c r="D30" s="52" t="e">
        <f t="shared" ref="D30:N30" si="27">-NPV(D20,D26,D33:D36,(D37-D28))</f>
        <v>#DIV/0!</v>
      </c>
      <c r="E30" s="52" t="e">
        <f t="shared" si="27"/>
        <v>#DIV/0!</v>
      </c>
      <c r="F30" s="52" t="e">
        <f t="shared" si="27"/>
        <v>#DIV/0!</v>
      </c>
      <c r="G30" s="52" t="e">
        <f t="shared" si="27"/>
        <v>#DIV/0!</v>
      </c>
      <c r="H30" s="52" t="e">
        <f t="shared" si="27"/>
        <v>#DIV/0!</v>
      </c>
      <c r="I30" s="52" t="e">
        <f t="shared" si="27"/>
        <v>#DIV/0!</v>
      </c>
      <c r="J30" s="52" t="e">
        <f t="shared" si="27"/>
        <v>#DIV/0!</v>
      </c>
      <c r="K30" s="52" t="e">
        <f t="shared" si="27"/>
        <v>#DIV/0!</v>
      </c>
      <c r="L30" s="52" t="e">
        <f t="shared" si="27"/>
        <v>#DIV/0!</v>
      </c>
      <c r="M30" s="52" t="e">
        <f t="shared" si="27"/>
        <v>#DIV/0!</v>
      </c>
      <c r="N30" s="52" t="e">
        <f t="shared" si="27"/>
        <v>#DIV/0!</v>
      </c>
      <c r="O30" s="52" t="e">
        <f t="shared" ref="O30" si="28">-NPV(O20,O26,O33:O36,(O37-O28))</f>
        <v>#DIV/0!</v>
      </c>
      <c r="P30" s="52"/>
      <c r="Q30" s="52"/>
      <c r="R30" s="52"/>
    </row>
    <row r="31" spans="2:18">
      <c r="B31" s="78">
        <f>-C$27*C$19*C$3/2</f>
        <v>0</v>
      </c>
      <c r="C31" s="52"/>
      <c r="D31" s="52"/>
      <c r="E31" s="52"/>
      <c r="F31" s="52"/>
      <c r="G31" s="52"/>
      <c r="H31" s="52"/>
      <c r="I31" s="52"/>
      <c r="J31" s="52"/>
      <c r="K31" s="52"/>
      <c r="L31" s="52"/>
      <c r="M31" s="52"/>
      <c r="N31" s="52"/>
      <c r="O31" s="52"/>
    </row>
    <row r="32" spans="2:18">
      <c r="B32" s="51">
        <v>0</v>
      </c>
      <c r="C32" s="52"/>
      <c r="D32" s="52"/>
      <c r="E32" s="52"/>
      <c r="F32" s="52"/>
      <c r="G32" s="52"/>
      <c r="H32" s="52"/>
      <c r="I32" s="52"/>
      <c r="J32" s="52"/>
      <c r="K32" s="52"/>
      <c r="L32" s="52"/>
      <c r="M32" s="52"/>
      <c r="N32" s="52"/>
      <c r="O32" s="52"/>
    </row>
    <row r="33" spans="2:18">
      <c r="B33" s="51">
        <v>1</v>
      </c>
      <c r="C33" s="52"/>
      <c r="D33" s="52" t="e">
        <f>-D$27*D$19*HLOOKUP((D$18+$B33),$D$2:$AY$3,2,FALSE)</f>
        <v>#DIV/0!</v>
      </c>
      <c r="E33" s="52" t="e">
        <f t="shared" ref="E33:O37" si="29">-E$27*E$19*HLOOKUP((E$18+$B33),$D$2:$AY$3,2,FALSE)</f>
        <v>#DIV/0!</v>
      </c>
      <c r="F33" s="52" t="e">
        <f t="shared" si="29"/>
        <v>#DIV/0!</v>
      </c>
      <c r="G33" s="52" t="e">
        <f t="shared" si="29"/>
        <v>#DIV/0!</v>
      </c>
      <c r="H33" s="52" t="e">
        <f t="shared" si="29"/>
        <v>#DIV/0!</v>
      </c>
      <c r="I33" s="52" t="e">
        <f t="shared" si="29"/>
        <v>#DIV/0!</v>
      </c>
      <c r="J33" s="52" t="e">
        <f t="shared" si="29"/>
        <v>#DIV/0!</v>
      </c>
      <c r="K33" s="52" t="e">
        <f t="shared" si="29"/>
        <v>#DIV/0!</v>
      </c>
      <c r="L33" s="52" t="e">
        <f t="shared" si="29"/>
        <v>#DIV/0!</v>
      </c>
      <c r="M33" s="52" t="e">
        <f t="shared" si="29"/>
        <v>#DIV/0!</v>
      </c>
      <c r="N33" s="52" t="e">
        <f t="shared" si="29"/>
        <v>#DIV/0!</v>
      </c>
      <c r="O33" s="52" t="e">
        <f t="shared" si="29"/>
        <v>#DIV/0!</v>
      </c>
    </row>
    <row r="34" spans="2:18">
      <c r="B34" s="51">
        <v>2</v>
      </c>
      <c r="C34" s="52"/>
      <c r="D34" s="52" t="e">
        <f t="shared" ref="D34:D37" si="30">-D$27*D$19*HLOOKUP((D$18+$B34),$D$2:$AY$3,2,FALSE)</f>
        <v>#DIV/0!</v>
      </c>
      <c r="E34" s="52" t="e">
        <f t="shared" si="29"/>
        <v>#DIV/0!</v>
      </c>
      <c r="F34" s="52" t="e">
        <f t="shared" si="29"/>
        <v>#DIV/0!</v>
      </c>
      <c r="G34" s="52" t="e">
        <f t="shared" si="29"/>
        <v>#DIV/0!</v>
      </c>
      <c r="H34" s="52" t="e">
        <f t="shared" si="29"/>
        <v>#DIV/0!</v>
      </c>
      <c r="I34" s="52" t="e">
        <f t="shared" si="29"/>
        <v>#DIV/0!</v>
      </c>
      <c r="J34" s="52" t="e">
        <f t="shared" si="29"/>
        <v>#DIV/0!</v>
      </c>
      <c r="K34" s="52" t="e">
        <f t="shared" si="29"/>
        <v>#DIV/0!</v>
      </c>
      <c r="L34" s="52" t="e">
        <f t="shared" si="29"/>
        <v>#DIV/0!</v>
      </c>
      <c r="M34" s="52" t="e">
        <f t="shared" si="29"/>
        <v>#DIV/0!</v>
      </c>
      <c r="N34" s="52" t="e">
        <f t="shared" si="29"/>
        <v>#DIV/0!</v>
      </c>
      <c r="O34" s="52" t="e">
        <f t="shared" si="29"/>
        <v>#DIV/0!</v>
      </c>
    </row>
    <row r="35" spans="2:18">
      <c r="B35" s="51">
        <v>3</v>
      </c>
      <c r="C35" s="52"/>
      <c r="D35" s="52" t="e">
        <f t="shared" si="30"/>
        <v>#DIV/0!</v>
      </c>
      <c r="E35" s="52" t="e">
        <f t="shared" si="29"/>
        <v>#DIV/0!</v>
      </c>
      <c r="F35" s="52" t="e">
        <f t="shared" si="29"/>
        <v>#DIV/0!</v>
      </c>
      <c r="G35" s="52" t="e">
        <f t="shared" si="29"/>
        <v>#DIV/0!</v>
      </c>
      <c r="H35" s="52" t="e">
        <f t="shared" si="29"/>
        <v>#DIV/0!</v>
      </c>
      <c r="I35" s="52" t="e">
        <f t="shared" si="29"/>
        <v>#DIV/0!</v>
      </c>
      <c r="J35" s="52" t="e">
        <f t="shared" si="29"/>
        <v>#DIV/0!</v>
      </c>
      <c r="K35" s="52" t="e">
        <f t="shared" si="29"/>
        <v>#DIV/0!</v>
      </c>
      <c r="L35" s="52" t="e">
        <f t="shared" si="29"/>
        <v>#DIV/0!</v>
      </c>
      <c r="M35" s="52" t="e">
        <f t="shared" si="29"/>
        <v>#DIV/0!</v>
      </c>
      <c r="N35" s="52" t="e">
        <f t="shared" si="29"/>
        <v>#DIV/0!</v>
      </c>
      <c r="O35" s="52" t="e">
        <f t="shared" si="29"/>
        <v>#DIV/0!</v>
      </c>
    </row>
    <row r="36" spans="2:18">
      <c r="B36" s="51">
        <v>4</v>
      </c>
      <c r="C36" s="52"/>
      <c r="D36" s="52" t="e">
        <f t="shared" si="30"/>
        <v>#DIV/0!</v>
      </c>
      <c r="E36" s="52" t="e">
        <f t="shared" si="29"/>
        <v>#DIV/0!</v>
      </c>
      <c r="F36" s="52" t="e">
        <f t="shared" si="29"/>
        <v>#DIV/0!</v>
      </c>
      <c r="G36" s="52" t="e">
        <f t="shared" si="29"/>
        <v>#DIV/0!</v>
      </c>
      <c r="H36" s="52" t="e">
        <f t="shared" si="29"/>
        <v>#DIV/0!</v>
      </c>
      <c r="I36" s="52" t="e">
        <f t="shared" si="29"/>
        <v>#DIV/0!</v>
      </c>
      <c r="J36" s="52" t="e">
        <f t="shared" si="29"/>
        <v>#DIV/0!</v>
      </c>
      <c r="K36" s="52" t="e">
        <f t="shared" si="29"/>
        <v>#DIV/0!</v>
      </c>
      <c r="L36" s="52" t="e">
        <f t="shared" si="29"/>
        <v>#DIV/0!</v>
      </c>
      <c r="M36" s="52" t="e">
        <f t="shared" si="29"/>
        <v>#DIV/0!</v>
      </c>
      <c r="N36" s="52" t="e">
        <f t="shared" si="29"/>
        <v>#DIV/0!</v>
      </c>
      <c r="O36" s="52" t="e">
        <f t="shared" si="29"/>
        <v>#DIV/0!</v>
      </c>
    </row>
    <row r="37" spans="2:18">
      <c r="B37" s="51">
        <v>5</v>
      </c>
      <c r="C37" s="52"/>
      <c r="D37" s="52" t="e">
        <f t="shared" si="30"/>
        <v>#DIV/0!</v>
      </c>
      <c r="E37" s="52" t="e">
        <f t="shared" si="29"/>
        <v>#DIV/0!</v>
      </c>
      <c r="F37" s="52" t="e">
        <f t="shared" si="29"/>
        <v>#DIV/0!</v>
      </c>
      <c r="G37" s="52" t="e">
        <f t="shared" si="29"/>
        <v>#DIV/0!</v>
      </c>
      <c r="H37" s="52" t="e">
        <f t="shared" si="29"/>
        <v>#DIV/0!</v>
      </c>
      <c r="I37" s="52" t="e">
        <f t="shared" si="29"/>
        <v>#DIV/0!</v>
      </c>
      <c r="J37" s="52" t="e">
        <f t="shared" si="29"/>
        <v>#DIV/0!</v>
      </c>
      <c r="K37" s="52" t="e">
        <f t="shared" si="29"/>
        <v>#DIV/0!</v>
      </c>
      <c r="L37" s="52" t="e">
        <f t="shared" si="29"/>
        <v>#DIV/0!</v>
      </c>
      <c r="M37" s="52" t="e">
        <f t="shared" si="29"/>
        <v>#DIV/0!</v>
      </c>
      <c r="N37" s="52" t="e">
        <f t="shared" si="29"/>
        <v>#DIV/0!</v>
      </c>
      <c r="O37" s="52" t="e">
        <f t="shared" si="29"/>
        <v>#DIV/0!</v>
      </c>
    </row>
    <row r="38" spans="2:18">
      <c r="C38" s="52"/>
      <c r="D38" s="52"/>
      <c r="E38" s="52"/>
      <c r="F38" s="52"/>
      <c r="G38" s="52"/>
      <c r="H38" s="52"/>
      <c r="I38" s="52"/>
      <c r="J38" s="52"/>
      <c r="K38" s="52"/>
      <c r="L38" s="52"/>
      <c r="M38" s="52"/>
      <c r="N38" s="52"/>
      <c r="O38" s="52"/>
    </row>
    <row r="39" spans="2:18" ht="16">
      <c r="B39" s="51" t="s">
        <v>113</v>
      </c>
      <c r="C39" s="52"/>
      <c r="D39" s="52"/>
      <c r="E39" s="52" t="e">
        <f>D33+C34</f>
        <v>#DIV/0!</v>
      </c>
      <c r="F39" s="52" t="e">
        <f>E33+D34+C35</f>
        <v>#DIV/0!</v>
      </c>
      <c r="G39" s="52" t="e">
        <f>F33+E34+D35+C36</f>
        <v>#DIV/0!</v>
      </c>
      <c r="H39" s="52" t="e">
        <f>G33+F34+E35+D36+C37</f>
        <v>#DIV/0!</v>
      </c>
      <c r="I39" s="52" t="e">
        <f t="shared" ref="I39:O39" si="31">H33+G34+F35+E36+D37</f>
        <v>#DIV/0!</v>
      </c>
      <c r="J39" s="52" t="e">
        <f t="shared" si="31"/>
        <v>#DIV/0!</v>
      </c>
      <c r="K39" s="52" t="e">
        <f t="shared" si="31"/>
        <v>#DIV/0!</v>
      </c>
      <c r="L39" s="52" t="e">
        <f t="shared" si="31"/>
        <v>#DIV/0!</v>
      </c>
      <c r="M39" s="52" t="e">
        <f t="shared" si="31"/>
        <v>#DIV/0!</v>
      </c>
      <c r="N39" s="52" t="e">
        <f t="shared" si="31"/>
        <v>#DIV/0!</v>
      </c>
      <c r="O39" s="52" t="e">
        <f t="shared" si="31"/>
        <v>#DIV/0!</v>
      </c>
      <c r="P39" s="52"/>
      <c r="Q39" s="52"/>
      <c r="R39" s="52"/>
    </row>
    <row r="40" spans="2:18" ht="16">
      <c r="B40" s="51" t="s">
        <v>114</v>
      </c>
      <c r="C40" s="52"/>
      <c r="D40" s="52"/>
      <c r="E40" s="52"/>
      <c r="F40" s="52"/>
      <c r="G40" s="52"/>
      <c r="H40" s="52"/>
      <c r="I40" s="52"/>
      <c r="J40" s="52"/>
      <c r="K40" s="52"/>
      <c r="L40" s="52"/>
      <c r="M40" s="52"/>
      <c r="N40" s="52"/>
      <c r="O40" s="52"/>
      <c r="P40" s="52"/>
      <c r="Q40" s="52"/>
      <c r="R40" s="52"/>
    </row>
    <row r="41" spans="2:18">
      <c r="C41" s="52"/>
      <c r="D41" s="54"/>
      <c r="E41" s="54"/>
      <c r="F41" s="54"/>
      <c r="G41" s="54"/>
      <c r="H41" s="54"/>
      <c r="I41" s="54"/>
      <c r="J41" s="54"/>
      <c r="K41" s="54"/>
      <c r="L41" s="54"/>
      <c r="M41" s="54"/>
      <c r="N41" s="54"/>
      <c r="O41" s="54"/>
    </row>
    <row r="43" spans="2:18">
      <c r="B43" s="49">
        <v>10</v>
      </c>
      <c r="C43" s="50">
        <v>2022</v>
      </c>
      <c r="D43" s="50">
        <v>2023</v>
      </c>
      <c r="E43" s="50">
        <v>2024</v>
      </c>
      <c r="F43" s="50">
        <v>2025</v>
      </c>
      <c r="G43" s="50">
        <v>2026</v>
      </c>
      <c r="H43" s="50">
        <v>2027</v>
      </c>
      <c r="I43" s="50">
        <v>2028</v>
      </c>
      <c r="J43" s="50">
        <v>2029</v>
      </c>
      <c r="K43" s="50">
        <v>2030</v>
      </c>
      <c r="L43" s="50">
        <v>2031</v>
      </c>
      <c r="M43" s="50">
        <v>2032</v>
      </c>
      <c r="N43" s="50">
        <v>2033</v>
      </c>
      <c r="O43" s="50">
        <v>2034</v>
      </c>
    </row>
    <row r="44" spans="2:18" ht="16">
      <c r="B44" s="51" t="s">
        <v>105</v>
      </c>
      <c r="C44" s="54"/>
      <c r="D44" s="54">
        <f>Supuestos!F96</f>
        <v>0</v>
      </c>
      <c r="E44" s="54">
        <f>Supuestos!G96</f>
        <v>0</v>
      </c>
      <c r="F44" s="54">
        <f>Supuestos!H96</f>
        <v>0</v>
      </c>
      <c r="G44" s="54">
        <f>Supuestos!I96</f>
        <v>0</v>
      </c>
      <c r="H44" s="54">
        <f>Supuestos!J96</f>
        <v>0</v>
      </c>
      <c r="I44" s="54">
        <f>Supuestos!K96</f>
        <v>0</v>
      </c>
      <c r="J44" s="54">
        <f>Supuestos!L96</f>
        <v>0</v>
      </c>
      <c r="K44" s="54">
        <f>Supuestos!M96</f>
        <v>0</v>
      </c>
      <c r="L44" s="54">
        <f>Supuestos!N96</f>
        <v>0</v>
      </c>
      <c r="M44" s="54">
        <f>Supuestos!O96</f>
        <v>0</v>
      </c>
      <c r="N44" s="54">
        <f>Supuestos!P96</f>
        <v>0</v>
      </c>
      <c r="O44" s="54">
        <f>Supuestos!Q96</f>
        <v>0</v>
      </c>
    </row>
    <row r="45" spans="2:18" ht="16">
      <c r="B45" s="51" t="s">
        <v>89</v>
      </c>
      <c r="C45" s="54"/>
      <c r="D45" s="54">
        <f>Supuestos!F97</f>
        <v>0</v>
      </c>
      <c r="E45" s="54">
        <f>Supuestos!G97</f>
        <v>0</v>
      </c>
      <c r="F45" s="54">
        <f>Supuestos!H97</f>
        <v>0</v>
      </c>
      <c r="G45" s="54">
        <f>Supuestos!I97</f>
        <v>0</v>
      </c>
      <c r="H45" s="54">
        <f>Supuestos!J97</f>
        <v>0</v>
      </c>
      <c r="I45" s="54">
        <f>Supuestos!K97</f>
        <v>0</v>
      </c>
      <c r="J45" s="54">
        <f>Supuestos!L97</f>
        <v>0</v>
      </c>
      <c r="K45" s="54">
        <f>Supuestos!M97</f>
        <v>0</v>
      </c>
      <c r="L45" s="54">
        <f>Supuestos!N97</f>
        <v>0</v>
      </c>
      <c r="M45" s="54">
        <f>Supuestos!O97</f>
        <v>0</v>
      </c>
      <c r="N45" s="54">
        <f>Supuestos!P97</f>
        <v>0</v>
      </c>
      <c r="O45" s="54">
        <f>Supuestos!Q97</f>
        <v>0</v>
      </c>
    </row>
    <row r="46" spans="2:18" ht="16">
      <c r="B46" s="51" t="s">
        <v>90</v>
      </c>
      <c r="C46" s="56"/>
      <c r="D46" s="56">
        <f>Supuestos!F98</f>
        <v>10</v>
      </c>
      <c r="E46" s="56">
        <f>Supuestos!G98</f>
        <v>10</v>
      </c>
      <c r="F46" s="56">
        <f>Supuestos!H98</f>
        <v>10</v>
      </c>
      <c r="G46" s="56">
        <f>Supuestos!I98</f>
        <v>10</v>
      </c>
      <c r="H46" s="56">
        <f>Supuestos!J98</f>
        <v>10</v>
      </c>
      <c r="I46" s="56">
        <f>Supuestos!K98</f>
        <v>10</v>
      </c>
      <c r="J46" s="56">
        <f>Supuestos!L98</f>
        <v>10</v>
      </c>
      <c r="K46" s="56">
        <f>Supuestos!M98</f>
        <v>10</v>
      </c>
      <c r="L46" s="56">
        <f>Supuestos!N98</f>
        <v>10</v>
      </c>
      <c r="M46" s="56">
        <f>Supuestos!O98</f>
        <v>10</v>
      </c>
      <c r="N46" s="56">
        <f>Supuestos!P98</f>
        <v>10</v>
      </c>
      <c r="O46" s="56">
        <f>Supuestos!Q98</f>
        <v>10</v>
      </c>
    </row>
    <row r="47" spans="2:18" ht="16">
      <c r="B47" s="51" t="s">
        <v>79</v>
      </c>
      <c r="C47" s="56"/>
      <c r="D47" s="56">
        <f t="shared" ref="D47:N47" si="32">D43+D46</f>
        <v>2033</v>
      </c>
      <c r="E47" s="56">
        <f t="shared" si="32"/>
        <v>2034</v>
      </c>
      <c r="F47" s="56">
        <f t="shared" si="32"/>
        <v>2035</v>
      </c>
      <c r="G47" s="56">
        <f t="shared" si="32"/>
        <v>2036</v>
      </c>
      <c r="H47" s="56">
        <f t="shared" si="32"/>
        <v>2037</v>
      </c>
      <c r="I47" s="56">
        <f t="shared" si="32"/>
        <v>2038</v>
      </c>
      <c r="J47" s="56">
        <f t="shared" si="32"/>
        <v>2039</v>
      </c>
      <c r="K47" s="56">
        <f t="shared" si="32"/>
        <v>2040</v>
      </c>
      <c r="L47" s="56">
        <f t="shared" si="32"/>
        <v>2041</v>
      </c>
      <c r="M47" s="56">
        <f t="shared" si="32"/>
        <v>2042</v>
      </c>
      <c r="N47" s="56">
        <f t="shared" si="32"/>
        <v>2043</v>
      </c>
      <c r="O47" s="56">
        <f t="shared" ref="O47" si="33">O43+O46</f>
        <v>2044</v>
      </c>
    </row>
    <row r="48" spans="2:18" ht="16">
      <c r="B48" s="51" t="s">
        <v>107</v>
      </c>
      <c r="C48" s="54"/>
      <c r="D48" s="54">
        <f>Supuestos!F89</f>
        <v>0</v>
      </c>
      <c r="E48" s="54">
        <f>Supuestos!G89</f>
        <v>0</v>
      </c>
      <c r="F48" s="54">
        <f>Supuestos!H89</f>
        <v>0</v>
      </c>
      <c r="G48" s="54">
        <f>Supuestos!I89</f>
        <v>0</v>
      </c>
      <c r="H48" s="54">
        <f>Supuestos!J89</f>
        <v>0</v>
      </c>
      <c r="I48" s="54">
        <f>Supuestos!K89</f>
        <v>0</v>
      </c>
      <c r="J48" s="54">
        <f>Supuestos!L89</f>
        <v>0</v>
      </c>
      <c r="K48" s="54">
        <f>Supuestos!M89</f>
        <v>0</v>
      </c>
      <c r="L48" s="54">
        <f>Supuestos!N89</f>
        <v>0</v>
      </c>
      <c r="M48" s="54">
        <f>Supuestos!O89</f>
        <v>0</v>
      </c>
      <c r="N48" s="54">
        <f>Supuestos!P89</f>
        <v>0</v>
      </c>
      <c r="O48" s="54">
        <f>Supuestos!Q89</f>
        <v>0</v>
      </c>
    </row>
    <row r="49" spans="1:18" ht="16">
      <c r="B49" s="51" t="s">
        <v>303</v>
      </c>
      <c r="C49" s="52"/>
      <c r="D49" s="52">
        <f t="shared" ref="D49:N49" si="34">D$4*D48</f>
        <v>0</v>
      </c>
      <c r="E49" s="52" t="e">
        <f t="shared" si="34"/>
        <v>#DIV/0!</v>
      </c>
      <c r="F49" s="52" t="e">
        <f t="shared" si="34"/>
        <v>#DIV/0!</v>
      </c>
      <c r="G49" s="52" t="e">
        <f t="shared" si="34"/>
        <v>#DIV/0!</v>
      </c>
      <c r="H49" s="52" t="e">
        <f t="shared" si="34"/>
        <v>#DIV/0!</v>
      </c>
      <c r="I49" s="52" t="e">
        <f t="shared" si="34"/>
        <v>#DIV/0!</v>
      </c>
      <c r="J49" s="52" t="e">
        <f t="shared" si="34"/>
        <v>#DIV/0!</v>
      </c>
      <c r="K49" s="52" t="e">
        <f t="shared" si="34"/>
        <v>#DIV/0!</v>
      </c>
      <c r="L49" s="52" t="e">
        <f t="shared" si="34"/>
        <v>#DIV/0!</v>
      </c>
      <c r="M49" s="52" t="e">
        <f t="shared" si="34"/>
        <v>#DIV/0!</v>
      </c>
      <c r="N49" s="52" t="e">
        <f t="shared" si="34"/>
        <v>#DIV/0!</v>
      </c>
      <c r="O49" s="52" t="e">
        <f t="shared" ref="O49" si="35">O$4*O48</f>
        <v>#DIV/0!</v>
      </c>
    </row>
    <row r="50" spans="1:18" ht="16">
      <c r="B50" s="51" t="s">
        <v>173</v>
      </c>
      <c r="C50" s="52"/>
      <c r="D50" s="52">
        <f t="shared" ref="D50:N50" si="36">D$5*D48</f>
        <v>0</v>
      </c>
      <c r="E50" s="52">
        <f t="shared" si="36"/>
        <v>0</v>
      </c>
      <c r="F50" s="52">
        <f t="shared" si="36"/>
        <v>0</v>
      </c>
      <c r="G50" s="52">
        <f t="shared" si="36"/>
        <v>0</v>
      </c>
      <c r="H50" s="52">
        <f t="shared" si="36"/>
        <v>0</v>
      </c>
      <c r="I50" s="52">
        <f t="shared" si="36"/>
        <v>0</v>
      </c>
      <c r="J50" s="52">
        <f t="shared" si="36"/>
        <v>0</v>
      </c>
      <c r="K50" s="52">
        <f t="shared" si="36"/>
        <v>0</v>
      </c>
      <c r="L50" s="52">
        <f t="shared" si="36"/>
        <v>0</v>
      </c>
      <c r="M50" s="52">
        <f t="shared" si="36"/>
        <v>0</v>
      </c>
      <c r="N50" s="52">
        <f t="shared" si="36"/>
        <v>0</v>
      </c>
      <c r="O50" s="52">
        <f t="shared" ref="O50" si="37">O$5*O48</f>
        <v>0</v>
      </c>
    </row>
    <row r="51" spans="1:18" ht="16">
      <c r="A51" s="35"/>
      <c r="B51" s="58" t="s">
        <v>110</v>
      </c>
      <c r="C51" s="60"/>
      <c r="D51" s="60">
        <f t="shared" ref="D51:N51" si="38">SUM(D49:D50)</f>
        <v>0</v>
      </c>
      <c r="E51" s="60" t="e">
        <f t="shared" si="38"/>
        <v>#DIV/0!</v>
      </c>
      <c r="F51" s="60" t="e">
        <f t="shared" si="38"/>
        <v>#DIV/0!</v>
      </c>
      <c r="G51" s="60" t="e">
        <f t="shared" si="38"/>
        <v>#DIV/0!</v>
      </c>
      <c r="H51" s="60" t="e">
        <f t="shared" si="38"/>
        <v>#DIV/0!</v>
      </c>
      <c r="I51" s="60" t="e">
        <f t="shared" si="38"/>
        <v>#DIV/0!</v>
      </c>
      <c r="J51" s="60" t="e">
        <f t="shared" si="38"/>
        <v>#DIV/0!</v>
      </c>
      <c r="K51" s="60" t="e">
        <f t="shared" si="38"/>
        <v>#DIV/0!</v>
      </c>
      <c r="L51" s="60" t="e">
        <f t="shared" si="38"/>
        <v>#DIV/0!</v>
      </c>
      <c r="M51" s="60" t="e">
        <f t="shared" si="38"/>
        <v>#DIV/0!</v>
      </c>
      <c r="N51" s="60" t="e">
        <f t="shared" si="38"/>
        <v>#DIV/0!</v>
      </c>
      <c r="O51" s="60" t="e">
        <f t="shared" ref="O51" si="39">SUM(O49:O50)</f>
        <v>#DIV/0!</v>
      </c>
    </row>
    <row r="52" spans="1:18" s="399" customFormat="1" ht="16">
      <c r="B52" s="396" t="s">
        <v>111</v>
      </c>
      <c r="C52" s="398"/>
      <c r="D52" s="398" t="e">
        <f t="shared" ref="D52:N52" si="40">D51/D$3</f>
        <v>#DIV/0!</v>
      </c>
      <c r="E52" s="398" t="e">
        <f t="shared" si="40"/>
        <v>#DIV/0!</v>
      </c>
      <c r="F52" s="398" t="e">
        <f t="shared" si="40"/>
        <v>#DIV/0!</v>
      </c>
      <c r="G52" s="398" t="e">
        <f t="shared" si="40"/>
        <v>#DIV/0!</v>
      </c>
      <c r="H52" s="398" t="e">
        <f t="shared" si="40"/>
        <v>#DIV/0!</v>
      </c>
      <c r="I52" s="398" t="e">
        <f t="shared" si="40"/>
        <v>#DIV/0!</v>
      </c>
      <c r="J52" s="398" t="e">
        <f t="shared" si="40"/>
        <v>#DIV/0!</v>
      </c>
      <c r="K52" s="398" t="e">
        <f t="shared" si="40"/>
        <v>#DIV/0!</v>
      </c>
      <c r="L52" s="398" t="e">
        <f t="shared" si="40"/>
        <v>#DIV/0!</v>
      </c>
      <c r="M52" s="398" t="e">
        <f t="shared" si="40"/>
        <v>#DIV/0!</v>
      </c>
      <c r="N52" s="398" t="e">
        <f t="shared" si="40"/>
        <v>#DIV/0!</v>
      </c>
      <c r="O52" s="398" t="e">
        <f t="shared" ref="O52" si="41">O51/O$3</f>
        <v>#DIV/0!</v>
      </c>
    </row>
    <row r="53" spans="1:18" ht="16">
      <c r="B53" s="58" t="s">
        <v>120</v>
      </c>
      <c r="C53" s="60"/>
      <c r="D53" s="60" t="e">
        <f>D52*HLOOKUP((D43+D46),$D2:$AY3,2,FALSE)</f>
        <v>#DIV/0!</v>
      </c>
      <c r="E53" s="60" t="e">
        <f t="shared" ref="E53:O53" si="42">E52*HLOOKUP((E43+E46),$D2:$AY3,2,FALSE)</f>
        <v>#DIV/0!</v>
      </c>
      <c r="F53" s="60" t="e">
        <f t="shared" si="42"/>
        <v>#DIV/0!</v>
      </c>
      <c r="G53" s="60" t="e">
        <f t="shared" si="42"/>
        <v>#DIV/0!</v>
      </c>
      <c r="H53" s="60" t="e">
        <f t="shared" si="42"/>
        <v>#DIV/0!</v>
      </c>
      <c r="I53" s="60" t="e">
        <f t="shared" si="42"/>
        <v>#DIV/0!</v>
      </c>
      <c r="J53" s="60" t="e">
        <f t="shared" si="42"/>
        <v>#DIV/0!</v>
      </c>
      <c r="K53" s="60" t="e">
        <f t="shared" si="42"/>
        <v>#DIV/0!</v>
      </c>
      <c r="L53" s="60" t="e">
        <f t="shared" si="42"/>
        <v>#DIV/0!</v>
      </c>
      <c r="M53" s="60" t="e">
        <f t="shared" si="42"/>
        <v>#DIV/0!</v>
      </c>
      <c r="N53" s="60" t="e">
        <f t="shared" si="42"/>
        <v>#DIV/0!</v>
      </c>
      <c r="O53" s="60" t="e">
        <f t="shared" si="42"/>
        <v>#DIV/0!</v>
      </c>
    </row>
    <row r="54" spans="1:18">
      <c r="C54" s="52"/>
      <c r="D54" s="52"/>
      <c r="E54" s="52"/>
      <c r="F54" s="52"/>
      <c r="G54" s="52"/>
      <c r="H54" s="52"/>
      <c r="I54" s="52"/>
      <c r="J54" s="52"/>
      <c r="K54" s="52"/>
      <c r="L54" s="52"/>
      <c r="M54" s="52"/>
      <c r="N54" s="52"/>
      <c r="O54" s="52"/>
    </row>
    <row r="55" spans="1:18" ht="16">
      <c r="B55" s="51" t="s">
        <v>112</v>
      </c>
      <c r="C55" s="52"/>
      <c r="D55" s="52" t="e">
        <f>-NPV(D45,D51,D58:D66,(D67-D53))</f>
        <v>#DIV/0!</v>
      </c>
      <c r="E55" s="52" t="e">
        <f t="shared" ref="E55:N55" si="43">-NPV(E45,E51,E58:E66,(E67-E53))</f>
        <v>#DIV/0!</v>
      </c>
      <c r="F55" s="52" t="e">
        <f t="shared" si="43"/>
        <v>#DIV/0!</v>
      </c>
      <c r="G55" s="52" t="e">
        <f t="shared" si="43"/>
        <v>#DIV/0!</v>
      </c>
      <c r="H55" s="52" t="e">
        <f t="shared" si="43"/>
        <v>#DIV/0!</v>
      </c>
      <c r="I55" s="52" t="e">
        <f t="shared" si="43"/>
        <v>#DIV/0!</v>
      </c>
      <c r="J55" s="52" t="e">
        <f t="shared" si="43"/>
        <v>#DIV/0!</v>
      </c>
      <c r="K55" s="52" t="e">
        <f t="shared" si="43"/>
        <v>#DIV/0!</v>
      </c>
      <c r="L55" s="52" t="e">
        <f t="shared" si="43"/>
        <v>#DIV/0!</v>
      </c>
      <c r="M55" s="52" t="e">
        <f t="shared" si="43"/>
        <v>#DIV/0!</v>
      </c>
      <c r="N55" s="52" t="e">
        <f t="shared" si="43"/>
        <v>#DIV/0!</v>
      </c>
      <c r="O55" s="52" t="e">
        <f t="shared" ref="O55" si="44">-NPV(O45,O51,O58:O66,(O67-O53))</f>
        <v>#DIV/0!</v>
      </c>
      <c r="P55" s="52"/>
      <c r="Q55" s="52"/>
      <c r="R55" s="52"/>
    </row>
    <row r="56" spans="1:18">
      <c r="B56" s="62"/>
      <c r="C56" s="52"/>
      <c r="D56" s="52"/>
      <c r="E56" s="52"/>
      <c r="F56" s="52"/>
      <c r="G56" s="52"/>
      <c r="H56" s="52"/>
      <c r="I56" s="52"/>
      <c r="J56" s="52"/>
      <c r="K56" s="52"/>
      <c r="L56" s="52"/>
      <c r="M56" s="52"/>
      <c r="N56" s="52"/>
      <c r="O56" s="52"/>
    </row>
    <row r="57" spans="1:18">
      <c r="B57" s="51">
        <v>0</v>
      </c>
      <c r="C57" s="52"/>
      <c r="D57" s="52"/>
      <c r="E57" s="52"/>
      <c r="F57" s="52"/>
      <c r="G57" s="52"/>
      <c r="H57" s="52"/>
      <c r="I57" s="52"/>
      <c r="J57" s="52"/>
      <c r="K57" s="52"/>
      <c r="L57" s="52"/>
      <c r="M57" s="52"/>
      <c r="N57" s="52"/>
      <c r="O57" s="52"/>
    </row>
    <row r="58" spans="1:18">
      <c r="B58" s="51">
        <v>1</v>
      </c>
      <c r="C58" s="52"/>
      <c r="D58" s="52" t="e">
        <f>-D$52*D$44*HLOOKUP((D$43+$B58),$D$2:$AY$3,2,FALSE)</f>
        <v>#DIV/0!</v>
      </c>
      <c r="E58" s="52" t="e">
        <f t="shared" ref="E58:O67" si="45">-E$52*E$44*HLOOKUP((E$43+$B58),$D$2:$AY$3,2,FALSE)</f>
        <v>#DIV/0!</v>
      </c>
      <c r="F58" s="52" t="e">
        <f t="shared" si="45"/>
        <v>#DIV/0!</v>
      </c>
      <c r="G58" s="52" t="e">
        <f t="shared" si="45"/>
        <v>#DIV/0!</v>
      </c>
      <c r="H58" s="52" t="e">
        <f t="shared" si="45"/>
        <v>#DIV/0!</v>
      </c>
      <c r="I58" s="52" t="e">
        <f t="shared" si="45"/>
        <v>#DIV/0!</v>
      </c>
      <c r="J58" s="52" t="e">
        <f t="shared" si="45"/>
        <v>#DIV/0!</v>
      </c>
      <c r="K58" s="52" t="e">
        <f t="shared" si="45"/>
        <v>#DIV/0!</v>
      </c>
      <c r="L58" s="52" t="e">
        <f t="shared" si="45"/>
        <v>#DIV/0!</v>
      </c>
      <c r="M58" s="52" t="e">
        <f t="shared" si="45"/>
        <v>#DIV/0!</v>
      </c>
      <c r="N58" s="52" t="e">
        <f t="shared" si="45"/>
        <v>#DIV/0!</v>
      </c>
      <c r="O58" s="52" t="e">
        <f t="shared" si="45"/>
        <v>#DIV/0!</v>
      </c>
    </row>
    <row r="59" spans="1:18">
      <c r="B59" s="51">
        <v>2</v>
      </c>
      <c r="C59" s="52"/>
      <c r="D59" s="52" t="e">
        <f t="shared" ref="D59:D67" si="46">-D$52*D$44*HLOOKUP((D$43+$B59),$D$2:$AY$3,2,FALSE)</f>
        <v>#DIV/0!</v>
      </c>
      <c r="E59" s="52" t="e">
        <f t="shared" si="45"/>
        <v>#DIV/0!</v>
      </c>
      <c r="F59" s="52" t="e">
        <f t="shared" si="45"/>
        <v>#DIV/0!</v>
      </c>
      <c r="G59" s="52" t="e">
        <f t="shared" si="45"/>
        <v>#DIV/0!</v>
      </c>
      <c r="H59" s="52" t="e">
        <f t="shared" si="45"/>
        <v>#DIV/0!</v>
      </c>
      <c r="I59" s="52" t="e">
        <f t="shared" si="45"/>
        <v>#DIV/0!</v>
      </c>
      <c r="J59" s="52" t="e">
        <f t="shared" si="45"/>
        <v>#DIV/0!</v>
      </c>
      <c r="K59" s="52" t="e">
        <f t="shared" si="45"/>
        <v>#DIV/0!</v>
      </c>
      <c r="L59" s="52" t="e">
        <f t="shared" si="45"/>
        <v>#DIV/0!</v>
      </c>
      <c r="M59" s="52" t="e">
        <f t="shared" si="45"/>
        <v>#DIV/0!</v>
      </c>
      <c r="N59" s="52" t="e">
        <f t="shared" si="45"/>
        <v>#DIV/0!</v>
      </c>
      <c r="O59" s="52" t="e">
        <f t="shared" si="45"/>
        <v>#DIV/0!</v>
      </c>
    </row>
    <row r="60" spans="1:18">
      <c r="B60" s="51">
        <v>3</v>
      </c>
      <c r="C60" s="52"/>
      <c r="D60" s="52" t="e">
        <f t="shared" si="46"/>
        <v>#DIV/0!</v>
      </c>
      <c r="E60" s="52" t="e">
        <f t="shared" si="45"/>
        <v>#DIV/0!</v>
      </c>
      <c r="F60" s="52" t="e">
        <f t="shared" si="45"/>
        <v>#DIV/0!</v>
      </c>
      <c r="G60" s="52" t="e">
        <f t="shared" si="45"/>
        <v>#DIV/0!</v>
      </c>
      <c r="H60" s="52" t="e">
        <f t="shared" si="45"/>
        <v>#DIV/0!</v>
      </c>
      <c r="I60" s="52" t="e">
        <f t="shared" si="45"/>
        <v>#DIV/0!</v>
      </c>
      <c r="J60" s="52" t="e">
        <f t="shared" si="45"/>
        <v>#DIV/0!</v>
      </c>
      <c r="K60" s="52" t="e">
        <f t="shared" si="45"/>
        <v>#DIV/0!</v>
      </c>
      <c r="L60" s="52" t="e">
        <f t="shared" si="45"/>
        <v>#DIV/0!</v>
      </c>
      <c r="M60" s="52" t="e">
        <f t="shared" si="45"/>
        <v>#DIV/0!</v>
      </c>
      <c r="N60" s="52" t="e">
        <f t="shared" si="45"/>
        <v>#DIV/0!</v>
      </c>
      <c r="O60" s="52" t="e">
        <f t="shared" si="45"/>
        <v>#DIV/0!</v>
      </c>
    </row>
    <row r="61" spans="1:18">
      <c r="B61" s="51">
        <v>4</v>
      </c>
      <c r="C61" s="52"/>
      <c r="D61" s="52" t="e">
        <f t="shared" si="46"/>
        <v>#DIV/0!</v>
      </c>
      <c r="E61" s="52" t="e">
        <f t="shared" si="45"/>
        <v>#DIV/0!</v>
      </c>
      <c r="F61" s="52" t="e">
        <f t="shared" si="45"/>
        <v>#DIV/0!</v>
      </c>
      <c r="G61" s="52" t="e">
        <f t="shared" si="45"/>
        <v>#DIV/0!</v>
      </c>
      <c r="H61" s="52" t="e">
        <f t="shared" si="45"/>
        <v>#DIV/0!</v>
      </c>
      <c r="I61" s="52" t="e">
        <f t="shared" si="45"/>
        <v>#DIV/0!</v>
      </c>
      <c r="J61" s="52" t="e">
        <f t="shared" si="45"/>
        <v>#DIV/0!</v>
      </c>
      <c r="K61" s="52" t="e">
        <f t="shared" si="45"/>
        <v>#DIV/0!</v>
      </c>
      <c r="L61" s="52" t="e">
        <f t="shared" si="45"/>
        <v>#DIV/0!</v>
      </c>
      <c r="M61" s="52" t="e">
        <f t="shared" si="45"/>
        <v>#DIV/0!</v>
      </c>
      <c r="N61" s="52" t="e">
        <f t="shared" si="45"/>
        <v>#DIV/0!</v>
      </c>
      <c r="O61" s="52" t="e">
        <f t="shared" si="45"/>
        <v>#DIV/0!</v>
      </c>
    </row>
    <row r="62" spans="1:18">
      <c r="B62" s="51">
        <v>5</v>
      </c>
      <c r="C62" s="52"/>
      <c r="D62" s="52" t="e">
        <f t="shared" si="46"/>
        <v>#DIV/0!</v>
      </c>
      <c r="E62" s="52" t="e">
        <f t="shared" si="45"/>
        <v>#DIV/0!</v>
      </c>
      <c r="F62" s="52" t="e">
        <f t="shared" si="45"/>
        <v>#DIV/0!</v>
      </c>
      <c r="G62" s="52" t="e">
        <f t="shared" si="45"/>
        <v>#DIV/0!</v>
      </c>
      <c r="H62" s="52" t="e">
        <f t="shared" si="45"/>
        <v>#DIV/0!</v>
      </c>
      <c r="I62" s="52" t="e">
        <f t="shared" si="45"/>
        <v>#DIV/0!</v>
      </c>
      <c r="J62" s="52" t="e">
        <f t="shared" si="45"/>
        <v>#DIV/0!</v>
      </c>
      <c r="K62" s="52" t="e">
        <f t="shared" si="45"/>
        <v>#DIV/0!</v>
      </c>
      <c r="L62" s="52" t="e">
        <f t="shared" si="45"/>
        <v>#DIV/0!</v>
      </c>
      <c r="M62" s="52" t="e">
        <f t="shared" si="45"/>
        <v>#DIV/0!</v>
      </c>
      <c r="N62" s="52" t="e">
        <f t="shared" si="45"/>
        <v>#DIV/0!</v>
      </c>
      <c r="O62" s="52" t="e">
        <f t="shared" si="45"/>
        <v>#DIV/0!</v>
      </c>
    </row>
    <row r="63" spans="1:18">
      <c r="B63" s="51">
        <v>6</v>
      </c>
      <c r="C63" s="52"/>
      <c r="D63" s="52" t="e">
        <f t="shared" si="46"/>
        <v>#DIV/0!</v>
      </c>
      <c r="E63" s="52" t="e">
        <f t="shared" si="45"/>
        <v>#DIV/0!</v>
      </c>
      <c r="F63" s="52" t="e">
        <f t="shared" si="45"/>
        <v>#DIV/0!</v>
      </c>
      <c r="G63" s="52" t="e">
        <f t="shared" si="45"/>
        <v>#DIV/0!</v>
      </c>
      <c r="H63" s="52" t="e">
        <f t="shared" si="45"/>
        <v>#DIV/0!</v>
      </c>
      <c r="I63" s="52" t="e">
        <f t="shared" si="45"/>
        <v>#DIV/0!</v>
      </c>
      <c r="J63" s="52" t="e">
        <f t="shared" si="45"/>
        <v>#DIV/0!</v>
      </c>
      <c r="K63" s="52" t="e">
        <f t="shared" si="45"/>
        <v>#DIV/0!</v>
      </c>
      <c r="L63" s="52" t="e">
        <f t="shared" si="45"/>
        <v>#DIV/0!</v>
      </c>
      <c r="M63" s="52" t="e">
        <f t="shared" si="45"/>
        <v>#DIV/0!</v>
      </c>
      <c r="N63" s="52" t="e">
        <f t="shared" si="45"/>
        <v>#DIV/0!</v>
      </c>
      <c r="O63" s="52" t="e">
        <f t="shared" si="45"/>
        <v>#DIV/0!</v>
      </c>
    </row>
    <row r="64" spans="1:18">
      <c r="B64" s="51">
        <v>7</v>
      </c>
      <c r="C64" s="52"/>
      <c r="D64" s="52" t="e">
        <f t="shared" si="46"/>
        <v>#DIV/0!</v>
      </c>
      <c r="E64" s="52" t="e">
        <f t="shared" si="45"/>
        <v>#DIV/0!</v>
      </c>
      <c r="F64" s="52" t="e">
        <f t="shared" si="45"/>
        <v>#DIV/0!</v>
      </c>
      <c r="G64" s="52" t="e">
        <f t="shared" si="45"/>
        <v>#DIV/0!</v>
      </c>
      <c r="H64" s="52" t="e">
        <f t="shared" si="45"/>
        <v>#DIV/0!</v>
      </c>
      <c r="I64" s="52" t="e">
        <f t="shared" si="45"/>
        <v>#DIV/0!</v>
      </c>
      <c r="J64" s="52" t="e">
        <f t="shared" si="45"/>
        <v>#DIV/0!</v>
      </c>
      <c r="K64" s="52" t="e">
        <f t="shared" si="45"/>
        <v>#DIV/0!</v>
      </c>
      <c r="L64" s="52" t="e">
        <f t="shared" si="45"/>
        <v>#DIV/0!</v>
      </c>
      <c r="M64" s="52" t="e">
        <f t="shared" si="45"/>
        <v>#DIV/0!</v>
      </c>
      <c r="N64" s="52" t="e">
        <f t="shared" si="45"/>
        <v>#DIV/0!</v>
      </c>
      <c r="O64" s="52" t="e">
        <f t="shared" si="45"/>
        <v>#DIV/0!</v>
      </c>
    </row>
    <row r="65" spans="2:18">
      <c r="B65" s="51">
        <v>8</v>
      </c>
      <c r="C65" s="52"/>
      <c r="D65" s="52" t="e">
        <f t="shared" si="46"/>
        <v>#DIV/0!</v>
      </c>
      <c r="E65" s="52" t="e">
        <f t="shared" si="45"/>
        <v>#DIV/0!</v>
      </c>
      <c r="F65" s="52" t="e">
        <f t="shared" si="45"/>
        <v>#DIV/0!</v>
      </c>
      <c r="G65" s="52" t="e">
        <f t="shared" si="45"/>
        <v>#DIV/0!</v>
      </c>
      <c r="H65" s="52" t="e">
        <f t="shared" si="45"/>
        <v>#DIV/0!</v>
      </c>
      <c r="I65" s="52" t="e">
        <f t="shared" si="45"/>
        <v>#DIV/0!</v>
      </c>
      <c r="J65" s="52" t="e">
        <f t="shared" si="45"/>
        <v>#DIV/0!</v>
      </c>
      <c r="K65" s="52" t="e">
        <f t="shared" si="45"/>
        <v>#DIV/0!</v>
      </c>
      <c r="L65" s="52" t="e">
        <f t="shared" si="45"/>
        <v>#DIV/0!</v>
      </c>
      <c r="M65" s="52" t="e">
        <f t="shared" si="45"/>
        <v>#DIV/0!</v>
      </c>
      <c r="N65" s="52" t="e">
        <f t="shared" si="45"/>
        <v>#DIV/0!</v>
      </c>
      <c r="O65" s="52" t="e">
        <f t="shared" si="45"/>
        <v>#DIV/0!</v>
      </c>
    </row>
    <row r="66" spans="2:18">
      <c r="B66" s="51">
        <v>9</v>
      </c>
      <c r="C66" s="52"/>
      <c r="D66" s="52" t="e">
        <f t="shared" si="46"/>
        <v>#DIV/0!</v>
      </c>
      <c r="E66" s="52" t="e">
        <f t="shared" si="45"/>
        <v>#DIV/0!</v>
      </c>
      <c r="F66" s="52" t="e">
        <f t="shared" si="45"/>
        <v>#DIV/0!</v>
      </c>
      <c r="G66" s="52" t="e">
        <f t="shared" si="45"/>
        <v>#DIV/0!</v>
      </c>
      <c r="H66" s="52" t="e">
        <f t="shared" si="45"/>
        <v>#DIV/0!</v>
      </c>
      <c r="I66" s="52" t="e">
        <f t="shared" si="45"/>
        <v>#DIV/0!</v>
      </c>
      <c r="J66" s="52" t="e">
        <f t="shared" si="45"/>
        <v>#DIV/0!</v>
      </c>
      <c r="K66" s="52" t="e">
        <f t="shared" si="45"/>
        <v>#DIV/0!</v>
      </c>
      <c r="L66" s="52" t="e">
        <f t="shared" si="45"/>
        <v>#DIV/0!</v>
      </c>
      <c r="M66" s="52" t="e">
        <f t="shared" si="45"/>
        <v>#DIV/0!</v>
      </c>
      <c r="N66" s="52" t="e">
        <f t="shared" si="45"/>
        <v>#DIV/0!</v>
      </c>
      <c r="O66" s="52" t="e">
        <f t="shared" si="45"/>
        <v>#DIV/0!</v>
      </c>
    </row>
    <row r="67" spans="2:18">
      <c r="B67" s="51">
        <v>10</v>
      </c>
      <c r="C67" s="52"/>
      <c r="D67" s="52" t="e">
        <f t="shared" si="46"/>
        <v>#DIV/0!</v>
      </c>
      <c r="E67" s="52" t="e">
        <f t="shared" si="45"/>
        <v>#DIV/0!</v>
      </c>
      <c r="F67" s="52" t="e">
        <f t="shared" si="45"/>
        <v>#DIV/0!</v>
      </c>
      <c r="G67" s="52" t="e">
        <f t="shared" si="45"/>
        <v>#DIV/0!</v>
      </c>
      <c r="H67" s="52" t="e">
        <f t="shared" si="45"/>
        <v>#DIV/0!</v>
      </c>
      <c r="I67" s="52" t="e">
        <f t="shared" si="45"/>
        <v>#DIV/0!</v>
      </c>
      <c r="J67" s="52" t="e">
        <f t="shared" si="45"/>
        <v>#DIV/0!</v>
      </c>
      <c r="K67" s="52" t="e">
        <f t="shared" si="45"/>
        <v>#DIV/0!</v>
      </c>
      <c r="L67" s="52" t="e">
        <f t="shared" si="45"/>
        <v>#DIV/0!</v>
      </c>
      <c r="M67" s="52" t="e">
        <f t="shared" si="45"/>
        <v>#DIV/0!</v>
      </c>
      <c r="N67" s="52" t="e">
        <f t="shared" si="45"/>
        <v>#DIV/0!</v>
      </c>
      <c r="O67" s="52" t="e">
        <f t="shared" si="45"/>
        <v>#DIV/0!</v>
      </c>
    </row>
    <row r="68" spans="2:18">
      <c r="C68" s="52"/>
      <c r="D68" s="52"/>
      <c r="E68" s="52"/>
      <c r="F68" s="52"/>
      <c r="G68" s="52"/>
      <c r="H68" s="52"/>
      <c r="I68" s="52"/>
      <c r="J68" s="52"/>
      <c r="K68" s="52"/>
      <c r="L68" s="52"/>
      <c r="M68" s="52"/>
      <c r="N68" s="52"/>
      <c r="O68" s="52"/>
    </row>
    <row r="69" spans="2:18" ht="16">
      <c r="B69" s="51" t="s">
        <v>113</v>
      </c>
      <c r="C69" s="52"/>
      <c r="D69" s="52"/>
      <c r="E69" s="52" t="e">
        <f>D58+C59</f>
        <v>#DIV/0!</v>
      </c>
      <c r="F69" s="52" t="e">
        <f>E58+D59+C60</f>
        <v>#DIV/0!</v>
      </c>
      <c r="G69" s="52" t="e">
        <f>F58+E59+D60+C61</f>
        <v>#DIV/0!</v>
      </c>
      <c r="H69" s="52" t="e">
        <f>G58+F59+E60+D61+C62</f>
        <v>#DIV/0!</v>
      </c>
      <c r="I69" s="52" t="e">
        <f>H58+G59+F60+E61+D62+C63</f>
        <v>#DIV/0!</v>
      </c>
      <c r="J69" s="52" t="e">
        <f>I58+H59+G60+F61+E62+D63+C64</f>
        <v>#DIV/0!</v>
      </c>
      <c r="K69" s="52" t="e">
        <f>J58+I59+H60+G61+F62+E63+D64+C65</f>
        <v>#DIV/0!</v>
      </c>
      <c r="L69" s="52" t="e">
        <f>K58+J59+I60+H61+G62+F63+E64+D65+C66</f>
        <v>#DIV/0!</v>
      </c>
      <c r="M69" s="52" t="e">
        <f>L58+K59+J60+I61+H62+G63+F64+E65+D66+C67</f>
        <v>#DIV/0!</v>
      </c>
      <c r="N69" s="52" t="e">
        <f>M58+L59+K60+J61+I62+H63+G64+F65+E66+D67</f>
        <v>#DIV/0!</v>
      </c>
      <c r="O69" s="52" t="e">
        <f>N58+M59+L60+K61+J62+I63+H64+G65+F66+E67</f>
        <v>#DIV/0!</v>
      </c>
      <c r="P69" s="52"/>
      <c r="Q69" s="52"/>
      <c r="R69" s="52"/>
    </row>
    <row r="70" spans="2:18" ht="16">
      <c r="B70" s="51" t="s">
        <v>114</v>
      </c>
      <c r="C70" s="52"/>
      <c r="D70" s="52"/>
      <c r="E70" s="52"/>
      <c r="F70" s="52"/>
      <c r="G70" s="52"/>
      <c r="H70" s="52"/>
      <c r="I70" s="52"/>
      <c r="J70" s="52"/>
      <c r="K70" s="52"/>
      <c r="L70" s="52"/>
      <c r="M70" s="52"/>
      <c r="N70" s="52"/>
      <c r="O70" s="52"/>
      <c r="P70" s="52"/>
      <c r="Q70" s="52"/>
      <c r="R70" s="52"/>
    </row>
    <row r="71" spans="2:18">
      <c r="C71" s="52"/>
      <c r="D71" s="54"/>
      <c r="E71" s="54"/>
      <c r="F71" s="54"/>
      <c r="G71" s="54"/>
      <c r="H71" s="54"/>
      <c r="I71" s="54"/>
      <c r="J71" s="54"/>
      <c r="K71" s="54"/>
      <c r="L71" s="54"/>
      <c r="M71" s="54"/>
      <c r="N71" s="54"/>
      <c r="O71" s="54"/>
    </row>
    <row r="72" spans="2:18">
      <c r="B72" s="49">
        <v>30</v>
      </c>
      <c r="C72" s="50">
        <v>2022</v>
      </c>
      <c r="D72" s="50">
        <v>2023</v>
      </c>
      <c r="E72" s="50">
        <v>2024</v>
      </c>
      <c r="F72" s="50">
        <v>2025</v>
      </c>
      <c r="G72" s="50">
        <v>2026</v>
      </c>
      <c r="H72" s="50">
        <v>2027</v>
      </c>
      <c r="I72" s="50">
        <v>2028</v>
      </c>
      <c r="J72" s="50">
        <v>2029</v>
      </c>
      <c r="K72" s="50">
        <v>2030</v>
      </c>
      <c r="L72" s="50">
        <v>2031</v>
      </c>
      <c r="M72" s="50">
        <v>2032</v>
      </c>
      <c r="N72" s="50">
        <v>2033</v>
      </c>
      <c r="O72" s="50">
        <v>2034</v>
      </c>
    </row>
    <row r="73" spans="2:18" ht="16">
      <c r="B73" s="51" t="s">
        <v>105</v>
      </c>
      <c r="C73" s="79"/>
      <c r="D73" s="79">
        <f>Supuestos!F100</f>
        <v>0</v>
      </c>
      <c r="E73" s="79">
        <f>Supuestos!G100</f>
        <v>0</v>
      </c>
      <c r="F73" s="79">
        <f>Supuestos!H100</f>
        <v>0</v>
      </c>
      <c r="G73" s="79">
        <f>Supuestos!I100</f>
        <v>0</v>
      </c>
      <c r="H73" s="79">
        <f>Supuestos!J100</f>
        <v>0</v>
      </c>
      <c r="I73" s="79">
        <f>Supuestos!K100</f>
        <v>0</v>
      </c>
      <c r="J73" s="79">
        <f>Supuestos!L100</f>
        <v>0</v>
      </c>
      <c r="K73" s="79">
        <f>Supuestos!M100</f>
        <v>0</v>
      </c>
      <c r="L73" s="79">
        <f>Supuestos!N100</f>
        <v>0</v>
      </c>
      <c r="M73" s="79">
        <f>Supuestos!O100</f>
        <v>0</v>
      </c>
      <c r="N73" s="79">
        <f>Supuestos!P100</f>
        <v>0</v>
      </c>
      <c r="O73" s="79">
        <f>Supuestos!Q100</f>
        <v>0</v>
      </c>
    </row>
    <row r="74" spans="2:18" ht="16">
      <c r="B74" s="51" t="s">
        <v>89</v>
      </c>
      <c r="C74" s="79"/>
      <c r="D74" s="79">
        <f>Supuestos!F101</f>
        <v>0</v>
      </c>
      <c r="E74" s="79">
        <f>Supuestos!G101</f>
        <v>0</v>
      </c>
      <c r="F74" s="79">
        <f>Supuestos!H101</f>
        <v>0</v>
      </c>
      <c r="G74" s="79">
        <f>Supuestos!I101</f>
        <v>0</v>
      </c>
      <c r="H74" s="79">
        <f>Supuestos!J101</f>
        <v>0</v>
      </c>
      <c r="I74" s="79">
        <f>Supuestos!K101</f>
        <v>0</v>
      </c>
      <c r="J74" s="79">
        <f>Supuestos!L101</f>
        <v>0</v>
      </c>
      <c r="K74" s="79">
        <f>Supuestos!M101</f>
        <v>0</v>
      </c>
      <c r="L74" s="79">
        <f>Supuestos!N101</f>
        <v>0</v>
      </c>
      <c r="M74" s="79">
        <f>Supuestos!O101</f>
        <v>0</v>
      </c>
      <c r="N74" s="79">
        <f>Supuestos!P101</f>
        <v>0</v>
      </c>
      <c r="O74" s="79">
        <f>Supuestos!Q101</f>
        <v>0</v>
      </c>
    </row>
    <row r="75" spans="2:18" ht="16">
      <c r="B75" s="51" t="s">
        <v>90</v>
      </c>
      <c r="C75" s="56"/>
      <c r="D75" s="56">
        <f>Supuestos!F102</f>
        <v>30</v>
      </c>
      <c r="E75" s="56">
        <f>Supuestos!G102</f>
        <v>30</v>
      </c>
      <c r="F75" s="56">
        <f>Supuestos!H102</f>
        <v>30</v>
      </c>
      <c r="G75" s="56">
        <f>Supuestos!I102</f>
        <v>30</v>
      </c>
      <c r="H75" s="56">
        <f>Supuestos!J102</f>
        <v>30</v>
      </c>
      <c r="I75" s="56">
        <f>Supuestos!K102</f>
        <v>30</v>
      </c>
      <c r="J75" s="56">
        <f>Supuestos!L102</f>
        <v>30</v>
      </c>
      <c r="K75" s="56">
        <f>Supuestos!M102</f>
        <v>30</v>
      </c>
      <c r="L75" s="56">
        <f>Supuestos!N102</f>
        <v>30</v>
      </c>
      <c r="M75" s="56">
        <f>Supuestos!O102</f>
        <v>30</v>
      </c>
      <c r="N75" s="56">
        <f>Supuestos!P102</f>
        <v>30</v>
      </c>
      <c r="O75" s="56">
        <f>Supuestos!Q102</f>
        <v>30</v>
      </c>
    </row>
    <row r="76" spans="2:18" ht="16">
      <c r="B76" s="51" t="s">
        <v>79</v>
      </c>
      <c r="C76" s="56"/>
      <c r="D76" s="56">
        <f t="shared" ref="D76:N76" si="47">D72+D75</f>
        <v>2053</v>
      </c>
      <c r="E76" s="56">
        <f t="shared" si="47"/>
        <v>2054</v>
      </c>
      <c r="F76" s="56">
        <f t="shared" si="47"/>
        <v>2055</v>
      </c>
      <c r="G76" s="56">
        <f t="shared" si="47"/>
        <v>2056</v>
      </c>
      <c r="H76" s="56">
        <f t="shared" si="47"/>
        <v>2057</v>
      </c>
      <c r="I76" s="56">
        <f t="shared" si="47"/>
        <v>2058</v>
      </c>
      <c r="J76" s="56">
        <f t="shared" si="47"/>
        <v>2059</v>
      </c>
      <c r="K76" s="56">
        <f t="shared" si="47"/>
        <v>2060</v>
      </c>
      <c r="L76" s="56">
        <f t="shared" si="47"/>
        <v>2061</v>
      </c>
      <c r="M76" s="56">
        <f t="shared" si="47"/>
        <v>2062</v>
      </c>
      <c r="N76" s="56">
        <f t="shared" si="47"/>
        <v>2063</v>
      </c>
      <c r="O76" s="56">
        <f t="shared" ref="O76" si="48">O72+O75</f>
        <v>2064</v>
      </c>
    </row>
    <row r="77" spans="2:18" ht="16">
      <c r="B77" s="51" t="s">
        <v>107</v>
      </c>
      <c r="C77" s="54"/>
      <c r="D77" s="54">
        <f>Supuestos!F90</f>
        <v>0</v>
      </c>
      <c r="E77" s="54">
        <f>Supuestos!G90</f>
        <v>0</v>
      </c>
      <c r="F77" s="54">
        <f>Supuestos!H90</f>
        <v>0</v>
      </c>
      <c r="G77" s="54">
        <f>Supuestos!I90</f>
        <v>0</v>
      </c>
      <c r="H77" s="54">
        <f>Supuestos!J90</f>
        <v>0</v>
      </c>
      <c r="I77" s="54">
        <f>Supuestos!K90</f>
        <v>0</v>
      </c>
      <c r="J77" s="54">
        <f>Supuestos!L90</f>
        <v>0</v>
      </c>
      <c r="K77" s="54">
        <f>Supuestos!M90</f>
        <v>0</v>
      </c>
      <c r="L77" s="54">
        <f>Supuestos!N90</f>
        <v>0</v>
      </c>
      <c r="M77" s="54">
        <f>Supuestos!O90</f>
        <v>0</v>
      </c>
      <c r="N77" s="54">
        <f>Supuestos!P90</f>
        <v>0</v>
      </c>
      <c r="O77" s="54">
        <f>Supuestos!Q90</f>
        <v>0</v>
      </c>
    </row>
    <row r="78" spans="2:18" ht="16">
      <c r="B78" s="51" t="s">
        <v>303</v>
      </c>
      <c r="C78" s="57"/>
      <c r="D78" s="57">
        <f>D4*D$77</f>
        <v>0</v>
      </c>
      <c r="E78" s="57" t="e">
        <f t="shared" ref="E78:N78" si="49">E4*E$77</f>
        <v>#DIV/0!</v>
      </c>
      <c r="F78" s="57" t="e">
        <f t="shared" si="49"/>
        <v>#DIV/0!</v>
      </c>
      <c r="G78" s="57" t="e">
        <f t="shared" si="49"/>
        <v>#DIV/0!</v>
      </c>
      <c r="H78" s="57" t="e">
        <f t="shared" si="49"/>
        <v>#DIV/0!</v>
      </c>
      <c r="I78" s="57" t="e">
        <f t="shared" si="49"/>
        <v>#DIV/0!</v>
      </c>
      <c r="J78" s="57" t="e">
        <f t="shared" si="49"/>
        <v>#DIV/0!</v>
      </c>
      <c r="K78" s="57" t="e">
        <f t="shared" si="49"/>
        <v>#DIV/0!</v>
      </c>
      <c r="L78" s="57" t="e">
        <f t="shared" si="49"/>
        <v>#DIV/0!</v>
      </c>
      <c r="M78" s="57" t="e">
        <f t="shared" si="49"/>
        <v>#DIV/0!</v>
      </c>
      <c r="N78" s="57" t="e">
        <f t="shared" si="49"/>
        <v>#DIV/0!</v>
      </c>
      <c r="O78" s="57" t="e">
        <f t="shared" ref="O78" si="50">O4*O$77</f>
        <v>#DIV/0!</v>
      </c>
    </row>
    <row r="79" spans="2:18" ht="16">
      <c r="B79" s="51" t="s">
        <v>173</v>
      </c>
      <c r="C79" s="57"/>
      <c r="D79" s="57">
        <f>D5*D$77</f>
        <v>0</v>
      </c>
      <c r="E79" s="57">
        <f t="shared" ref="E79:N79" si="51">E5*E$77</f>
        <v>0</v>
      </c>
      <c r="F79" s="57">
        <f t="shared" si="51"/>
        <v>0</v>
      </c>
      <c r="G79" s="57">
        <f t="shared" si="51"/>
        <v>0</v>
      </c>
      <c r="H79" s="57">
        <f t="shared" si="51"/>
        <v>0</v>
      </c>
      <c r="I79" s="57">
        <f t="shared" si="51"/>
        <v>0</v>
      </c>
      <c r="J79" s="57">
        <f t="shared" si="51"/>
        <v>0</v>
      </c>
      <c r="K79" s="57">
        <f t="shared" si="51"/>
        <v>0</v>
      </c>
      <c r="L79" s="57">
        <f t="shared" si="51"/>
        <v>0</v>
      </c>
      <c r="M79" s="57">
        <f t="shared" si="51"/>
        <v>0</v>
      </c>
      <c r="N79" s="57">
        <f t="shared" si="51"/>
        <v>0</v>
      </c>
      <c r="O79" s="57">
        <f t="shared" ref="O79" si="52">O5*O$77</f>
        <v>0</v>
      </c>
    </row>
    <row r="80" spans="2:18" ht="16">
      <c r="B80" s="58" t="s">
        <v>110</v>
      </c>
      <c r="C80" s="60"/>
      <c r="D80" s="60">
        <f t="shared" ref="D80:N80" si="53">SUM(D78:D79)</f>
        <v>0</v>
      </c>
      <c r="E80" s="60" t="e">
        <f t="shared" si="53"/>
        <v>#DIV/0!</v>
      </c>
      <c r="F80" s="60" t="e">
        <f t="shared" si="53"/>
        <v>#DIV/0!</v>
      </c>
      <c r="G80" s="60" t="e">
        <f t="shared" si="53"/>
        <v>#DIV/0!</v>
      </c>
      <c r="H80" s="60" t="e">
        <f t="shared" si="53"/>
        <v>#DIV/0!</v>
      </c>
      <c r="I80" s="60" t="e">
        <f t="shared" si="53"/>
        <v>#DIV/0!</v>
      </c>
      <c r="J80" s="60" t="e">
        <f t="shared" si="53"/>
        <v>#DIV/0!</v>
      </c>
      <c r="K80" s="60" t="e">
        <f t="shared" si="53"/>
        <v>#DIV/0!</v>
      </c>
      <c r="L80" s="60" t="e">
        <f t="shared" si="53"/>
        <v>#DIV/0!</v>
      </c>
      <c r="M80" s="60" t="e">
        <f t="shared" si="53"/>
        <v>#DIV/0!</v>
      </c>
      <c r="N80" s="60" t="e">
        <f t="shared" si="53"/>
        <v>#DIV/0!</v>
      </c>
      <c r="O80" s="60" t="e">
        <f t="shared" ref="O80" si="54">SUM(O78:O79)</f>
        <v>#DIV/0!</v>
      </c>
    </row>
    <row r="81" spans="2:18" s="399" customFormat="1" ht="16">
      <c r="B81" s="396" t="s">
        <v>111</v>
      </c>
      <c r="C81" s="398"/>
      <c r="D81" s="398" t="e">
        <f t="shared" ref="D81:N81" si="55">D80/D$3</f>
        <v>#DIV/0!</v>
      </c>
      <c r="E81" s="398" t="e">
        <f t="shared" si="55"/>
        <v>#DIV/0!</v>
      </c>
      <c r="F81" s="398" t="e">
        <f t="shared" si="55"/>
        <v>#DIV/0!</v>
      </c>
      <c r="G81" s="398" t="e">
        <f t="shared" si="55"/>
        <v>#DIV/0!</v>
      </c>
      <c r="H81" s="398" t="e">
        <f t="shared" si="55"/>
        <v>#DIV/0!</v>
      </c>
      <c r="I81" s="398" t="e">
        <f t="shared" si="55"/>
        <v>#DIV/0!</v>
      </c>
      <c r="J81" s="398" t="e">
        <f t="shared" si="55"/>
        <v>#DIV/0!</v>
      </c>
      <c r="K81" s="398" t="e">
        <f t="shared" si="55"/>
        <v>#DIV/0!</v>
      </c>
      <c r="L81" s="398" t="e">
        <f t="shared" si="55"/>
        <v>#DIV/0!</v>
      </c>
      <c r="M81" s="398" t="e">
        <f t="shared" si="55"/>
        <v>#DIV/0!</v>
      </c>
      <c r="N81" s="398" t="e">
        <f t="shared" si="55"/>
        <v>#DIV/0!</v>
      </c>
      <c r="O81" s="398" t="e">
        <f t="shared" ref="O81" si="56">O80/O$3</f>
        <v>#DIV/0!</v>
      </c>
    </row>
    <row r="82" spans="2:18" ht="16">
      <c r="B82" s="58" t="s">
        <v>120</v>
      </c>
      <c r="C82" s="60"/>
      <c r="D82" s="60" t="e">
        <f>D81*HLOOKUP((D72+D75),$D2:$AY3,2,FALSE)</f>
        <v>#DIV/0!</v>
      </c>
      <c r="E82" s="60" t="e">
        <f t="shared" ref="E82:O82" si="57">E81*HLOOKUP((E72+E75),$D2:$AY3,2,FALSE)</f>
        <v>#DIV/0!</v>
      </c>
      <c r="F82" s="60" t="e">
        <f t="shared" si="57"/>
        <v>#DIV/0!</v>
      </c>
      <c r="G82" s="60" t="e">
        <f t="shared" si="57"/>
        <v>#DIV/0!</v>
      </c>
      <c r="H82" s="60" t="e">
        <f t="shared" si="57"/>
        <v>#DIV/0!</v>
      </c>
      <c r="I82" s="60" t="e">
        <f t="shared" si="57"/>
        <v>#DIV/0!</v>
      </c>
      <c r="J82" s="60" t="e">
        <f t="shared" si="57"/>
        <v>#DIV/0!</v>
      </c>
      <c r="K82" s="60" t="e">
        <f t="shared" si="57"/>
        <v>#DIV/0!</v>
      </c>
      <c r="L82" s="60" t="e">
        <f t="shared" si="57"/>
        <v>#DIV/0!</v>
      </c>
      <c r="M82" s="60" t="e">
        <f t="shared" si="57"/>
        <v>#DIV/0!</v>
      </c>
      <c r="N82" s="60" t="e">
        <f t="shared" si="57"/>
        <v>#DIV/0!</v>
      </c>
      <c r="O82" s="60" t="e">
        <f t="shared" si="57"/>
        <v>#DIV/0!</v>
      </c>
    </row>
    <row r="83" spans="2:18">
      <c r="C83" s="52"/>
      <c r="D83" s="52"/>
      <c r="E83" s="52"/>
      <c r="F83" s="52"/>
      <c r="G83" s="52"/>
      <c r="H83" s="52"/>
      <c r="I83" s="52"/>
      <c r="J83" s="52"/>
      <c r="K83" s="52"/>
      <c r="L83" s="52"/>
      <c r="M83" s="52"/>
      <c r="N83" s="52"/>
      <c r="O83" s="52"/>
    </row>
    <row r="84" spans="2:18" ht="16">
      <c r="B84" s="51" t="s">
        <v>112</v>
      </c>
      <c r="C84" s="52"/>
      <c r="D84" s="52" t="e">
        <f t="shared" ref="D84:N84" si="58">-NPV(D74,D80,D87:D115,(D116-D82))</f>
        <v>#DIV/0!</v>
      </c>
      <c r="E84" s="52" t="e">
        <f t="shared" si="58"/>
        <v>#DIV/0!</v>
      </c>
      <c r="F84" s="52" t="e">
        <f t="shared" si="58"/>
        <v>#DIV/0!</v>
      </c>
      <c r="G84" s="52" t="e">
        <f t="shared" si="58"/>
        <v>#DIV/0!</v>
      </c>
      <c r="H84" s="52" t="e">
        <f t="shared" si="58"/>
        <v>#DIV/0!</v>
      </c>
      <c r="I84" s="52" t="e">
        <f t="shared" si="58"/>
        <v>#DIV/0!</v>
      </c>
      <c r="J84" s="52" t="e">
        <f t="shared" si="58"/>
        <v>#DIV/0!</v>
      </c>
      <c r="K84" s="52" t="e">
        <f t="shared" si="58"/>
        <v>#DIV/0!</v>
      </c>
      <c r="L84" s="52" t="e">
        <f t="shared" si="58"/>
        <v>#DIV/0!</v>
      </c>
      <c r="M84" s="52" t="e">
        <f t="shared" si="58"/>
        <v>#DIV/0!</v>
      </c>
      <c r="N84" s="52" t="e">
        <f t="shared" si="58"/>
        <v>#DIV/0!</v>
      </c>
      <c r="O84" s="52" t="e">
        <f t="shared" ref="O84" si="59">-NPV(O74,O80,O87:O115,(O116-O82))</f>
        <v>#DIV/0!</v>
      </c>
      <c r="P84" s="52"/>
      <c r="Q84" s="52"/>
      <c r="R84" s="52"/>
    </row>
    <row r="85" spans="2:18">
      <c r="B85" s="62">
        <f>-C$81*C$73*C$3/2</f>
        <v>0</v>
      </c>
      <c r="C85" s="52"/>
      <c r="D85" s="52"/>
      <c r="E85" s="52"/>
      <c r="F85" s="52"/>
      <c r="G85" s="52"/>
      <c r="H85" s="52"/>
      <c r="I85" s="52"/>
      <c r="J85" s="52"/>
      <c r="K85" s="52"/>
      <c r="L85" s="52"/>
      <c r="M85" s="52"/>
      <c r="N85" s="52"/>
      <c r="O85" s="52"/>
    </row>
    <row r="86" spans="2:18">
      <c r="B86" s="51">
        <v>0</v>
      </c>
      <c r="C86" s="52"/>
      <c r="D86" s="52"/>
      <c r="E86" s="52"/>
      <c r="F86" s="52"/>
      <c r="G86" s="52"/>
      <c r="H86" s="52"/>
      <c r="I86" s="52"/>
      <c r="J86" s="52"/>
      <c r="K86" s="52"/>
      <c r="L86" s="52"/>
      <c r="M86" s="52"/>
      <c r="N86" s="52"/>
      <c r="O86" s="52"/>
    </row>
    <row r="87" spans="2:18">
      <c r="B87" s="51">
        <v>1</v>
      </c>
      <c r="C87" s="52"/>
      <c r="D87" s="52" t="e">
        <f>-D$81*D$73*HLOOKUP((D$72+$B87),$D$2:$AY$3,2,FALSE)</f>
        <v>#DIV/0!</v>
      </c>
      <c r="E87" s="52" t="e">
        <f t="shared" ref="E87:O102" si="60">-E$81*E$73*HLOOKUP((E$72+$B87),$D$2:$AY$3,2,FALSE)</f>
        <v>#DIV/0!</v>
      </c>
      <c r="F87" s="52" t="e">
        <f t="shared" si="60"/>
        <v>#DIV/0!</v>
      </c>
      <c r="G87" s="52" t="e">
        <f t="shared" si="60"/>
        <v>#DIV/0!</v>
      </c>
      <c r="H87" s="52" t="e">
        <f t="shared" si="60"/>
        <v>#DIV/0!</v>
      </c>
      <c r="I87" s="52" t="e">
        <f t="shared" si="60"/>
        <v>#DIV/0!</v>
      </c>
      <c r="J87" s="52" t="e">
        <f t="shared" si="60"/>
        <v>#DIV/0!</v>
      </c>
      <c r="K87" s="52" t="e">
        <f t="shared" si="60"/>
        <v>#DIV/0!</v>
      </c>
      <c r="L87" s="52" t="e">
        <f t="shared" si="60"/>
        <v>#DIV/0!</v>
      </c>
      <c r="M87" s="52" t="e">
        <f t="shared" si="60"/>
        <v>#DIV/0!</v>
      </c>
      <c r="N87" s="52" t="e">
        <f t="shared" si="60"/>
        <v>#DIV/0!</v>
      </c>
      <c r="O87" s="52" t="e">
        <f t="shared" si="60"/>
        <v>#DIV/0!</v>
      </c>
    </row>
    <row r="88" spans="2:18">
      <c r="B88" s="51">
        <v>2</v>
      </c>
      <c r="C88" s="52"/>
      <c r="D88" s="52" t="e">
        <f t="shared" ref="D88:O103" si="61">-D$81*D$73*HLOOKUP((D$72+$B88),$D$2:$AY$3,2,FALSE)</f>
        <v>#DIV/0!</v>
      </c>
      <c r="E88" s="52" t="e">
        <f t="shared" si="60"/>
        <v>#DIV/0!</v>
      </c>
      <c r="F88" s="52" t="e">
        <f t="shared" si="60"/>
        <v>#DIV/0!</v>
      </c>
      <c r="G88" s="52" t="e">
        <f t="shared" si="60"/>
        <v>#DIV/0!</v>
      </c>
      <c r="H88" s="52" t="e">
        <f t="shared" si="60"/>
        <v>#DIV/0!</v>
      </c>
      <c r="I88" s="52" t="e">
        <f t="shared" si="60"/>
        <v>#DIV/0!</v>
      </c>
      <c r="J88" s="52" t="e">
        <f t="shared" si="60"/>
        <v>#DIV/0!</v>
      </c>
      <c r="K88" s="52" t="e">
        <f t="shared" si="60"/>
        <v>#DIV/0!</v>
      </c>
      <c r="L88" s="52" t="e">
        <f t="shared" si="60"/>
        <v>#DIV/0!</v>
      </c>
      <c r="M88" s="52" t="e">
        <f t="shared" si="60"/>
        <v>#DIV/0!</v>
      </c>
      <c r="N88" s="52" t="e">
        <f t="shared" si="60"/>
        <v>#DIV/0!</v>
      </c>
      <c r="O88" s="52" t="e">
        <f t="shared" si="60"/>
        <v>#DIV/0!</v>
      </c>
    </row>
    <row r="89" spans="2:18">
      <c r="B89" s="51">
        <v>3</v>
      </c>
      <c r="C89" s="52"/>
      <c r="D89" s="52" t="e">
        <f t="shared" si="61"/>
        <v>#DIV/0!</v>
      </c>
      <c r="E89" s="52" t="e">
        <f t="shared" si="60"/>
        <v>#DIV/0!</v>
      </c>
      <c r="F89" s="52" t="e">
        <f t="shared" si="60"/>
        <v>#DIV/0!</v>
      </c>
      <c r="G89" s="52" t="e">
        <f t="shared" si="60"/>
        <v>#DIV/0!</v>
      </c>
      <c r="H89" s="52" t="e">
        <f t="shared" si="60"/>
        <v>#DIV/0!</v>
      </c>
      <c r="I89" s="52" t="e">
        <f t="shared" si="60"/>
        <v>#DIV/0!</v>
      </c>
      <c r="J89" s="52" t="e">
        <f t="shared" si="60"/>
        <v>#DIV/0!</v>
      </c>
      <c r="K89" s="52" t="e">
        <f t="shared" si="60"/>
        <v>#DIV/0!</v>
      </c>
      <c r="L89" s="52" t="e">
        <f t="shared" si="60"/>
        <v>#DIV/0!</v>
      </c>
      <c r="M89" s="52" t="e">
        <f t="shared" si="60"/>
        <v>#DIV/0!</v>
      </c>
      <c r="N89" s="52" t="e">
        <f t="shared" si="60"/>
        <v>#DIV/0!</v>
      </c>
      <c r="O89" s="52" t="e">
        <f t="shared" si="60"/>
        <v>#DIV/0!</v>
      </c>
    </row>
    <row r="90" spans="2:18">
      <c r="B90" s="51">
        <v>4</v>
      </c>
      <c r="C90" s="52"/>
      <c r="D90" s="52" t="e">
        <f t="shared" si="61"/>
        <v>#DIV/0!</v>
      </c>
      <c r="E90" s="52" t="e">
        <f t="shared" si="60"/>
        <v>#DIV/0!</v>
      </c>
      <c r="F90" s="52" t="e">
        <f t="shared" si="60"/>
        <v>#DIV/0!</v>
      </c>
      <c r="G90" s="52" t="e">
        <f t="shared" si="60"/>
        <v>#DIV/0!</v>
      </c>
      <c r="H90" s="52" t="e">
        <f t="shared" si="60"/>
        <v>#DIV/0!</v>
      </c>
      <c r="I90" s="52" t="e">
        <f t="shared" si="60"/>
        <v>#DIV/0!</v>
      </c>
      <c r="J90" s="52" t="e">
        <f t="shared" si="60"/>
        <v>#DIV/0!</v>
      </c>
      <c r="K90" s="52" t="e">
        <f t="shared" si="60"/>
        <v>#DIV/0!</v>
      </c>
      <c r="L90" s="52" t="e">
        <f t="shared" si="60"/>
        <v>#DIV/0!</v>
      </c>
      <c r="M90" s="52" t="e">
        <f t="shared" si="60"/>
        <v>#DIV/0!</v>
      </c>
      <c r="N90" s="52" t="e">
        <f t="shared" si="60"/>
        <v>#DIV/0!</v>
      </c>
      <c r="O90" s="52" t="e">
        <f t="shared" si="60"/>
        <v>#DIV/0!</v>
      </c>
    </row>
    <row r="91" spans="2:18">
      <c r="B91" s="51">
        <v>5</v>
      </c>
      <c r="C91" s="52"/>
      <c r="D91" s="52" t="e">
        <f t="shared" si="61"/>
        <v>#DIV/0!</v>
      </c>
      <c r="E91" s="52" t="e">
        <f t="shared" si="60"/>
        <v>#DIV/0!</v>
      </c>
      <c r="F91" s="52" t="e">
        <f t="shared" si="60"/>
        <v>#DIV/0!</v>
      </c>
      <c r="G91" s="52" t="e">
        <f t="shared" si="60"/>
        <v>#DIV/0!</v>
      </c>
      <c r="H91" s="52" t="e">
        <f t="shared" si="60"/>
        <v>#DIV/0!</v>
      </c>
      <c r="I91" s="52" t="e">
        <f t="shared" si="60"/>
        <v>#DIV/0!</v>
      </c>
      <c r="J91" s="52" t="e">
        <f t="shared" si="60"/>
        <v>#DIV/0!</v>
      </c>
      <c r="K91" s="52" t="e">
        <f t="shared" si="60"/>
        <v>#DIV/0!</v>
      </c>
      <c r="L91" s="52" t="e">
        <f t="shared" si="60"/>
        <v>#DIV/0!</v>
      </c>
      <c r="M91" s="52" t="e">
        <f t="shared" si="60"/>
        <v>#DIV/0!</v>
      </c>
      <c r="N91" s="52" t="e">
        <f t="shared" si="60"/>
        <v>#DIV/0!</v>
      </c>
      <c r="O91" s="52" t="e">
        <f t="shared" si="60"/>
        <v>#DIV/0!</v>
      </c>
    </row>
    <row r="92" spans="2:18">
      <c r="B92" s="51">
        <v>6</v>
      </c>
      <c r="C92" s="52"/>
      <c r="D92" s="52" t="e">
        <f t="shared" si="61"/>
        <v>#DIV/0!</v>
      </c>
      <c r="E92" s="52" t="e">
        <f t="shared" si="60"/>
        <v>#DIV/0!</v>
      </c>
      <c r="F92" s="52" t="e">
        <f t="shared" si="60"/>
        <v>#DIV/0!</v>
      </c>
      <c r="G92" s="52" t="e">
        <f t="shared" si="60"/>
        <v>#DIV/0!</v>
      </c>
      <c r="H92" s="52" t="e">
        <f t="shared" si="60"/>
        <v>#DIV/0!</v>
      </c>
      <c r="I92" s="52" t="e">
        <f t="shared" si="60"/>
        <v>#DIV/0!</v>
      </c>
      <c r="J92" s="52" t="e">
        <f t="shared" si="60"/>
        <v>#DIV/0!</v>
      </c>
      <c r="K92" s="52" t="e">
        <f t="shared" si="60"/>
        <v>#DIV/0!</v>
      </c>
      <c r="L92" s="52" t="e">
        <f t="shared" si="60"/>
        <v>#DIV/0!</v>
      </c>
      <c r="M92" s="52" t="e">
        <f t="shared" si="60"/>
        <v>#DIV/0!</v>
      </c>
      <c r="N92" s="52" t="e">
        <f t="shared" si="60"/>
        <v>#DIV/0!</v>
      </c>
      <c r="O92" s="52" t="e">
        <f t="shared" si="60"/>
        <v>#DIV/0!</v>
      </c>
    </row>
    <row r="93" spans="2:18">
      <c r="B93" s="51">
        <v>7</v>
      </c>
      <c r="C93" s="52"/>
      <c r="D93" s="52" t="e">
        <f t="shared" si="61"/>
        <v>#DIV/0!</v>
      </c>
      <c r="E93" s="52" t="e">
        <f t="shared" si="60"/>
        <v>#DIV/0!</v>
      </c>
      <c r="F93" s="52" t="e">
        <f t="shared" si="60"/>
        <v>#DIV/0!</v>
      </c>
      <c r="G93" s="52" t="e">
        <f t="shared" si="60"/>
        <v>#DIV/0!</v>
      </c>
      <c r="H93" s="52" t="e">
        <f t="shared" si="60"/>
        <v>#DIV/0!</v>
      </c>
      <c r="I93" s="52" t="e">
        <f t="shared" si="60"/>
        <v>#DIV/0!</v>
      </c>
      <c r="J93" s="52" t="e">
        <f t="shared" si="60"/>
        <v>#DIV/0!</v>
      </c>
      <c r="K93" s="52" t="e">
        <f t="shared" si="60"/>
        <v>#DIV/0!</v>
      </c>
      <c r="L93" s="52" t="e">
        <f t="shared" si="60"/>
        <v>#DIV/0!</v>
      </c>
      <c r="M93" s="52" t="e">
        <f t="shared" si="60"/>
        <v>#DIV/0!</v>
      </c>
      <c r="N93" s="52" t="e">
        <f t="shared" si="60"/>
        <v>#DIV/0!</v>
      </c>
      <c r="O93" s="52" t="e">
        <f t="shared" si="60"/>
        <v>#DIV/0!</v>
      </c>
    </row>
    <row r="94" spans="2:18">
      <c r="B94" s="51">
        <v>8</v>
      </c>
      <c r="C94" s="52"/>
      <c r="D94" s="52" t="e">
        <f t="shared" si="61"/>
        <v>#DIV/0!</v>
      </c>
      <c r="E94" s="52" t="e">
        <f t="shared" si="60"/>
        <v>#DIV/0!</v>
      </c>
      <c r="F94" s="52" t="e">
        <f t="shared" si="60"/>
        <v>#DIV/0!</v>
      </c>
      <c r="G94" s="52" t="e">
        <f t="shared" si="60"/>
        <v>#DIV/0!</v>
      </c>
      <c r="H94" s="52" t="e">
        <f t="shared" si="60"/>
        <v>#DIV/0!</v>
      </c>
      <c r="I94" s="52" t="e">
        <f t="shared" si="60"/>
        <v>#DIV/0!</v>
      </c>
      <c r="J94" s="52" t="e">
        <f t="shared" si="60"/>
        <v>#DIV/0!</v>
      </c>
      <c r="K94" s="52" t="e">
        <f t="shared" si="60"/>
        <v>#DIV/0!</v>
      </c>
      <c r="L94" s="52" t="e">
        <f t="shared" si="60"/>
        <v>#DIV/0!</v>
      </c>
      <c r="M94" s="52" t="e">
        <f t="shared" si="60"/>
        <v>#DIV/0!</v>
      </c>
      <c r="N94" s="52" t="e">
        <f t="shared" si="60"/>
        <v>#DIV/0!</v>
      </c>
      <c r="O94" s="52" t="e">
        <f t="shared" si="60"/>
        <v>#DIV/0!</v>
      </c>
    </row>
    <row r="95" spans="2:18">
      <c r="B95" s="51">
        <v>9</v>
      </c>
      <c r="C95" s="52"/>
      <c r="D95" s="52" t="e">
        <f t="shared" si="61"/>
        <v>#DIV/0!</v>
      </c>
      <c r="E95" s="52" t="e">
        <f t="shared" si="60"/>
        <v>#DIV/0!</v>
      </c>
      <c r="F95" s="52" t="e">
        <f t="shared" si="60"/>
        <v>#DIV/0!</v>
      </c>
      <c r="G95" s="52" t="e">
        <f t="shared" si="60"/>
        <v>#DIV/0!</v>
      </c>
      <c r="H95" s="52" t="e">
        <f t="shared" si="60"/>
        <v>#DIV/0!</v>
      </c>
      <c r="I95" s="52" t="e">
        <f t="shared" si="60"/>
        <v>#DIV/0!</v>
      </c>
      <c r="J95" s="52" t="e">
        <f t="shared" si="60"/>
        <v>#DIV/0!</v>
      </c>
      <c r="K95" s="52" t="e">
        <f t="shared" si="60"/>
        <v>#DIV/0!</v>
      </c>
      <c r="L95" s="52" t="e">
        <f t="shared" si="60"/>
        <v>#DIV/0!</v>
      </c>
      <c r="M95" s="52" t="e">
        <f t="shared" si="60"/>
        <v>#DIV/0!</v>
      </c>
      <c r="N95" s="52" t="e">
        <f t="shared" si="60"/>
        <v>#DIV/0!</v>
      </c>
      <c r="O95" s="52" t="e">
        <f t="shared" si="60"/>
        <v>#DIV/0!</v>
      </c>
    </row>
    <row r="96" spans="2:18">
      <c r="B96" s="51">
        <v>10</v>
      </c>
      <c r="C96" s="52"/>
      <c r="D96" s="52" t="e">
        <f t="shared" si="61"/>
        <v>#DIV/0!</v>
      </c>
      <c r="E96" s="52" t="e">
        <f t="shared" si="60"/>
        <v>#DIV/0!</v>
      </c>
      <c r="F96" s="52" t="e">
        <f t="shared" si="60"/>
        <v>#DIV/0!</v>
      </c>
      <c r="G96" s="52" t="e">
        <f t="shared" si="60"/>
        <v>#DIV/0!</v>
      </c>
      <c r="H96" s="52" t="e">
        <f t="shared" si="60"/>
        <v>#DIV/0!</v>
      </c>
      <c r="I96" s="52" t="e">
        <f t="shared" si="60"/>
        <v>#DIV/0!</v>
      </c>
      <c r="J96" s="52" t="e">
        <f t="shared" si="60"/>
        <v>#DIV/0!</v>
      </c>
      <c r="K96" s="52" t="e">
        <f t="shared" si="60"/>
        <v>#DIV/0!</v>
      </c>
      <c r="L96" s="52" t="e">
        <f t="shared" si="60"/>
        <v>#DIV/0!</v>
      </c>
      <c r="M96" s="52" t="e">
        <f t="shared" si="60"/>
        <v>#DIV/0!</v>
      </c>
      <c r="N96" s="52" t="e">
        <f t="shared" si="60"/>
        <v>#DIV/0!</v>
      </c>
      <c r="O96" s="52" t="e">
        <f t="shared" si="60"/>
        <v>#DIV/0!</v>
      </c>
    </row>
    <row r="97" spans="2:15">
      <c r="B97" s="51">
        <v>11</v>
      </c>
      <c r="C97" s="52"/>
      <c r="D97" s="52" t="e">
        <f t="shared" si="61"/>
        <v>#DIV/0!</v>
      </c>
      <c r="E97" s="52" t="e">
        <f t="shared" si="60"/>
        <v>#DIV/0!</v>
      </c>
      <c r="F97" s="52" t="e">
        <f t="shared" si="60"/>
        <v>#DIV/0!</v>
      </c>
      <c r="G97" s="52" t="e">
        <f t="shared" si="60"/>
        <v>#DIV/0!</v>
      </c>
      <c r="H97" s="52" t="e">
        <f t="shared" si="60"/>
        <v>#DIV/0!</v>
      </c>
      <c r="I97" s="52" t="e">
        <f t="shared" si="60"/>
        <v>#DIV/0!</v>
      </c>
      <c r="J97" s="52" t="e">
        <f t="shared" si="60"/>
        <v>#DIV/0!</v>
      </c>
      <c r="K97" s="52" t="e">
        <f t="shared" si="60"/>
        <v>#DIV/0!</v>
      </c>
      <c r="L97" s="52" t="e">
        <f t="shared" si="60"/>
        <v>#DIV/0!</v>
      </c>
      <c r="M97" s="52" t="e">
        <f t="shared" si="60"/>
        <v>#DIV/0!</v>
      </c>
      <c r="N97" s="52" t="e">
        <f t="shared" si="60"/>
        <v>#DIV/0!</v>
      </c>
      <c r="O97" s="52" t="e">
        <f t="shared" si="60"/>
        <v>#DIV/0!</v>
      </c>
    </row>
    <row r="98" spans="2:15">
      <c r="B98" s="51">
        <v>12</v>
      </c>
      <c r="C98" s="52"/>
      <c r="D98" s="52" t="e">
        <f t="shared" si="61"/>
        <v>#DIV/0!</v>
      </c>
      <c r="E98" s="52" t="e">
        <f t="shared" si="60"/>
        <v>#DIV/0!</v>
      </c>
      <c r="F98" s="52" t="e">
        <f t="shared" si="60"/>
        <v>#DIV/0!</v>
      </c>
      <c r="G98" s="52" t="e">
        <f t="shared" si="60"/>
        <v>#DIV/0!</v>
      </c>
      <c r="H98" s="52" t="e">
        <f t="shared" si="60"/>
        <v>#DIV/0!</v>
      </c>
      <c r="I98" s="52" t="e">
        <f t="shared" si="60"/>
        <v>#DIV/0!</v>
      </c>
      <c r="J98" s="52" t="e">
        <f t="shared" si="60"/>
        <v>#DIV/0!</v>
      </c>
      <c r="K98" s="52" t="e">
        <f t="shared" si="60"/>
        <v>#DIV/0!</v>
      </c>
      <c r="L98" s="52" t="e">
        <f t="shared" si="60"/>
        <v>#DIV/0!</v>
      </c>
      <c r="M98" s="52" t="e">
        <f t="shared" si="60"/>
        <v>#DIV/0!</v>
      </c>
      <c r="N98" s="52" t="e">
        <f t="shared" si="60"/>
        <v>#DIV/0!</v>
      </c>
      <c r="O98" s="52" t="e">
        <f t="shared" si="60"/>
        <v>#DIV/0!</v>
      </c>
    </row>
    <row r="99" spans="2:15">
      <c r="B99" s="51">
        <v>13</v>
      </c>
      <c r="C99" s="52"/>
      <c r="D99" s="52" t="e">
        <f t="shared" si="61"/>
        <v>#DIV/0!</v>
      </c>
      <c r="E99" s="52" t="e">
        <f t="shared" si="60"/>
        <v>#DIV/0!</v>
      </c>
      <c r="F99" s="52" t="e">
        <f t="shared" si="60"/>
        <v>#DIV/0!</v>
      </c>
      <c r="G99" s="52" t="e">
        <f t="shared" si="60"/>
        <v>#DIV/0!</v>
      </c>
      <c r="H99" s="52" t="e">
        <f t="shared" si="60"/>
        <v>#DIV/0!</v>
      </c>
      <c r="I99" s="52" t="e">
        <f t="shared" si="60"/>
        <v>#DIV/0!</v>
      </c>
      <c r="J99" s="52" t="e">
        <f t="shared" si="60"/>
        <v>#DIV/0!</v>
      </c>
      <c r="K99" s="52" t="e">
        <f t="shared" si="60"/>
        <v>#DIV/0!</v>
      </c>
      <c r="L99" s="52" t="e">
        <f t="shared" si="60"/>
        <v>#DIV/0!</v>
      </c>
      <c r="M99" s="52" t="e">
        <f t="shared" si="60"/>
        <v>#DIV/0!</v>
      </c>
      <c r="N99" s="52" t="e">
        <f t="shared" si="60"/>
        <v>#DIV/0!</v>
      </c>
      <c r="O99" s="52" t="e">
        <f t="shared" si="60"/>
        <v>#DIV/0!</v>
      </c>
    </row>
    <row r="100" spans="2:15">
      <c r="B100" s="51">
        <v>14</v>
      </c>
      <c r="C100" s="52"/>
      <c r="D100" s="52" t="e">
        <f t="shared" si="61"/>
        <v>#DIV/0!</v>
      </c>
      <c r="E100" s="52" t="e">
        <f t="shared" si="60"/>
        <v>#DIV/0!</v>
      </c>
      <c r="F100" s="52" t="e">
        <f t="shared" si="60"/>
        <v>#DIV/0!</v>
      </c>
      <c r="G100" s="52" t="e">
        <f t="shared" si="60"/>
        <v>#DIV/0!</v>
      </c>
      <c r="H100" s="52" t="e">
        <f t="shared" si="60"/>
        <v>#DIV/0!</v>
      </c>
      <c r="I100" s="52" t="e">
        <f t="shared" si="60"/>
        <v>#DIV/0!</v>
      </c>
      <c r="J100" s="52" t="e">
        <f t="shared" si="60"/>
        <v>#DIV/0!</v>
      </c>
      <c r="K100" s="52" t="e">
        <f t="shared" si="60"/>
        <v>#DIV/0!</v>
      </c>
      <c r="L100" s="52" t="e">
        <f t="shared" si="60"/>
        <v>#DIV/0!</v>
      </c>
      <c r="M100" s="52" t="e">
        <f t="shared" si="60"/>
        <v>#DIV/0!</v>
      </c>
      <c r="N100" s="52" t="e">
        <f t="shared" si="60"/>
        <v>#DIV/0!</v>
      </c>
      <c r="O100" s="52" t="e">
        <f t="shared" si="60"/>
        <v>#DIV/0!</v>
      </c>
    </row>
    <row r="101" spans="2:15">
      <c r="B101" s="51">
        <v>15</v>
      </c>
      <c r="C101" s="52"/>
      <c r="D101" s="52" t="e">
        <f t="shared" si="61"/>
        <v>#DIV/0!</v>
      </c>
      <c r="E101" s="52" t="e">
        <f t="shared" si="60"/>
        <v>#DIV/0!</v>
      </c>
      <c r="F101" s="52" t="e">
        <f t="shared" si="60"/>
        <v>#DIV/0!</v>
      </c>
      <c r="G101" s="52" t="e">
        <f t="shared" si="60"/>
        <v>#DIV/0!</v>
      </c>
      <c r="H101" s="52" t="e">
        <f t="shared" si="60"/>
        <v>#DIV/0!</v>
      </c>
      <c r="I101" s="52" t="e">
        <f t="shared" si="60"/>
        <v>#DIV/0!</v>
      </c>
      <c r="J101" s="52" t="e">
        <f t="shared" si="60"/>
        <v>#DIV/0!</v>
      </c>
      <c r="K101" s="52" t="e">
        <f t="shared" si="60"/>
        <v>#DIV/0!</v>
      </c>
      <c r="L101" s="52" t="e">
        <f t="shared" si="60"/>
        <v>#DIV/0!</v>
      </c>
      <c r="M101" s="52" t="e">
        <f t="shared" si="60"/>
        <v>#DIV/0!</v>
      </c>
      <c r="N101" s="52" t="e">
        <f t="shared" si="60"/>
        <v>#DIV/0!</v>
      </c>
      <c r="O101" s="52" t="e">
        <f t="shared" si="60"/>
        <v>#DIV/0!</v>
      </c>
    </row>
    <row r="102" spans="2:15">
      <c r="B102" s="51">
        <v>16</v>
      </c>
      <c r="C102" s="52"/>
      <c r="D102" s="52" t="e">
        <f t="shared" si="61"/>
        <v>#DIV/0!</v>
      </c>
      <c r="E102" s="52" t="e">
        <f t="shared" si="60"/>
        <v>#DIV/0!</v>
      </c>
      <c r="F102" s="52" t="e">
        <f t="shared" si="60"/>
        <v>#DIV/0!</v>
      </c>
      <c r="G102" s="52" t="e">
        <f t="shared" si="60"/>
        <v>#DIV/0!</v>
      </c>
      <c r="H102" s="52" t="e">
        <f t="shared" si="60"/>
        <v>#DIV/0!</v>
      </c>
      <c r="I102" s="52" t="e">
        <f t="shared" si="60"/>
        <v>#DIV/0!</v>
      </c>
      <c r="J102" s="52" t="e">
        <f t="shared" si="60"/>
        <v>#DIV/0!</v>
      </c>
      <c r="K102" s="52" t="e">
        <f t="shared" si="60"/>
        <v>#DIV/0!</v>
      </c>
      <c r="L102" s="52" t="e">
        <f t="shared" si="60"/>
        <v>#DIV/0!</v>
      </c>
      <c r="M102" s="52" t="e">
        <f t="shared" si="60"/>
        <v>#DIV/0!</v>
      </c>
      <c r="N102" s="52" t="e">
        <f t="shared" si="60"/>
        <v>#DIV/0!</v>
      </c>
      <c r="O102" s="52" t="e">
        <f t="shared" si="60"/>
        <v>#DIV/0!</v>
      </c>
    </row>
    <row r="103" spans="2:15">
      <c r="B103" s="51">
        <v>17</v>
      </c>
      <c r="C103" s="52"/>
      <c r="D103" s="52" t="e">
        <f t="shared" si="61"/>
        <v>#DIV/0!</v>
      </c>
      <c r="E103" s="52" t="e">
        <f t="shared" si="61"/>
        <v>#DIV/0!</v>
      </c>
      <c r="F103" s="52" t="e">
        <f t="shared" si="61"/>
        <v>#DIV/0!</v>
      </c>
      <c r="G103" s="52" t="e">
        <f t="shared" si="61"/>
        <v>#DIV/0!</v>
      </c>
      <c r="H103" s="52" t="e">
        <f t="shared" si="61"/>
        <v>#DIV/0!</v>
      </c>
      <c r="I103" s="52" t="e">
        <f t="shared" si="61"/>
        <v>#DIV/0!</v>
      </c>
      <c r="J103" s="52" t="e">
        <f t="shared" si="61"/>
        <v>#DIV/0!</v>
      </c>
      <c r="K103" s="52" t="e">
        <f t="shared" si="61"/>
        <v>#DIV/0!</v>
      </c>
      <c r="L103" s="52" t="e">
        <f t="shared" si="61"/>
        <v>#DIV/0!</v>
      </c>
      <c r="M103" s="52" t="e">
        <f t="shared" si="61"/>
        <v>#DIV/0!</v>
      </c>
      <c r="N103" s="52" t="e">
        <f t="shared" si="61"/>
        <v>#DIV/0!</v>
      </c>
      <c r="O103" s="52" t="e">
        <f t="shared" si="61"/>
        <v>#DIV/0!</v>
      </c>
    </row>
    <row r="104" spans="2:15">
      <c r="B104" s="51">
        <v>18</v>
      </c>
      <c r="C104" s="52"/>
      <c r="D104" s="52" t="e">
        <f t="shared" ref="D104:O116" si="62">-D$81*D$73*HLOOKUP((D$72+$B104),$D$2:$AY$3,2,FALSE)</f>
        <v>#DIV/0!</v>
      </c>
      <c r="E104" s="52" t="e">
        <f t="shared" si="62"/>
        <v>#DIV/0!</v>
      </c>
      <c r="F104" s="52" t="e">
        <f t="shared" si="62"/>
        <v>#DIV/0!</v>
      </c>
      <c r="G104" s="52" t="e">
        <f t="shared" si="62"/>
        <v>#DIV/0!</v>
      </c>
      <c r="H104" s="52" t="e">
        <f t="shared" si="62"/>
        <v>#DIV/0!</v>
      </c>
      <c r="I104" s="52" t="e">
        <f t="shared" si="62"/>
        <v>#DIV/0!</v>
      </c>
      <c r="J104" s="52" t="e">
        <f t="shared" si="62"/>
        <v>#DIV/0!</v>
      </c>
      <c r="K104" s="52" t="e">
        <f t="shared" si="62"/>
        <v>#DIV/0!</v>
      </c>
      <c r="L104" s="52" t="e">
        <f t="shared" si="62"/>
        <v>#DIV/0!</v>
      </c>
      <c r="M104" s="52" t="e">
        <f t="shared" si="62"/>
        <v>#DIV/0!</v>
      </c>
      <c r="N104" s="52" t="e">
        <f t="shared" si="62"/>
        <v>#DIV/0!</v>
      </c>
      <c r="O104" s="52" t="e">
        <f t="shared" si="62"/>
        <v>#DIV/0!</v>
      </c>
    </row>
    <row r="105" spans="2:15">
      <c r="B105" s="51">
        <v>19</v>
      </c>
      <c r="C105" s="52"/>
      <c r="D105" s="52" t="e">
        <f t="shared" si="62"/>
        <v>#DIV/0!</v>
      </c>
      <c r="E105" s="52" t="e">
        <f t="shared" si="62"/>
        <v>#DIV/0!</v>
      </c>
      <c r="F105" s="52" t="e">
        <f t="shared" si="62"/>
        <v>#DIV/0!</v>
      </c>
      <c r="G105" s="52" t="e">
        <f t="shared" si="62"/>
        <v>#DIV/0!</v>
      </c>
      <c r="H105" s="52" t="e">
        <f t="shared" si="62"/>
        <v>#DIV/0!</v>
      </c>
      <c r="I105" s="52" t="e">
        <f t="shared" si="62"/>
        <v>#DIV/0!</v>
      </c>
      <c r="J105" s="52" t="e">
        <f t="shared" si="62"/>
        <v>#DIV/0!</v>
      </c>
      <c r="K105" s="52" t="e">
        <f t="shared" si="62"/>
        <v>#DIV/0!</v>
      </c>
      <c r="L105" s="52" t="e">
        <f t="shared" si="62"/>
        <v>#DIV/0!</v>
      </c>
      <c r="M105" s="52" t="e">
        <f t="shared" si="62"/>
        <v>#DIV/0!</v>
      </c>
      <c r="N105" s="52" t="e">
        <f t="shared" si="62"/>
        <v>#DIV/0!</v>
      </c>
      <c r="O105" s="52" t="e">
        <f t="shared" si="62"/>
        <v>#DIV/0!</v>
      </c>
    </row>
    <row r="106" spans="2:15">
      <c r="B106" s="51">
        <v>20</v>
      </c>
      <c r="C106" s="52"/>
      <c r="D106" s="52" t="e">
        <f t="shared" si="62"/>
        <v>#DIV/0!</v>
      </c>
      <c r="E106" s="52" t="e">
        <f t="shared" si="62"/>
        <v>#DIV/0!</v>
      </c>
      <c r="F106" s="52" t="e">
        <f t="shared" si="62"/>
        <v>#DIV/0!</v>
      </c>
      <c r="G106" s="52" t="e">
        <f t="shared" si="62"/>
        <v>#DIV/0!</v>
      </c>
      <c r="H106" s="52" t="e">
        <f t="shared" si="62"/>
        <v>#DIV/0!</v>
      </c>
      <c r="I106" s="52" t="e">
        <f t="shared" si="62"/>
        <v>#DIV/0!</v>
      </c>
      <c r="J106" s="52" t="e">
        <f t="shared" si="62"/>
        <v>#DIV/0!</v>
      </c>
      <c r="K106" s="52" t="e">
        <f t="shared" si="62"/>
        <v>#DIV/0!</v>
      </c>
      <c r="L106" s="52" t="e">
        <f t="shared" si="62"/>
        <v>#DIV/0!</v>
      </c>
      <c r="M106" s="52" t="e">
        <f t="shared" si="62"/>
        <v>#DIV/0!</v>
      </c>
      <c r="N106" s="52" t="e">
        <f t="shared" si="62"/>
        <v>#DIV/0!</v>
      </c>
      <c r="O106" s="52" t="e">
        <f t="shared" si="62"/>
        <v>#DIV/0!</v>
      </c>
    </row>
    <row r="107" spans="2:15">
      <c r="B107" s="51">
        <v>21</v>
      </c>
      <c r="C107" s="52"/>
      <c r="D107" s="52" t="e">
        <f t="shared" si="62"/>
        <v>#DIV/0!</v>
      </c>
      <c r="E107" s="52" t="e">
        <f t="shared" si="62"/>
        <v>#DIV/0!</v>
      </c>
      <c r="F107" s="52" t="e">
        <f t="shared" si="62"/>
        <v>#DIV/0!</v>
      </c>
      <c r="G107" s="52" t="e">
        <f t="shared" si="62"/>
        <v>#DIV/0!</v>
      </c>
      <c r="H107" s="52" t="e">
        <f t="shared" si="62"/>
        <v>#DIV/0!</v>
      </c>
      <c r="I107" s="52" t="e">
        <f t="shared" si="62"/>
        <v>#DIV/0!</v>
      </c>
      <c r="J107" s="52" t="e">
        <f t="shared" si="62"/>
        <v>#DIV/0!</v>
      </c>
      <c r="K107" s="52" t="e">
        <f t="shared" si="62"/>
        <v>#DIV/0!</v>
      </c>
      <c r="L107" s="52" t="e">
        <f t="shared" si="62"/>
        <v>#DIV/0!</v>
      </c>
      <c r="M107" s="52" t="e">
        <f t="shared" si="62"/>
        <v>#DIV/0!</v>
      </c>
      <c r="N107" s="52" t="e">
        <f t="shared" si="62"/>
        <v>#DIV/0!</v>
      </c>
      <c r="O107" s="52" t="e">
        <f t="shared" si="62"/>
        <v>#DIV/0!</v>
      </c>
    </row>
    <row r="108" spans="2:15">
      <c r="B108" s="51">
        <v>22</v>
      </c>
      <c r="C108" s="52"/>
      <c r="D108" s="52" t="e">
        <f t="shared" si="62"/>
        <v>#DIV/0!</v>
      </c>
      <c r="E108" s="52" t="e">
        <f t="shared" si="62"/>
        <v>#DIV/0!</v>
      </c>
      <c r="F108" s="52" t="e">
        <f t="shared" si="62"/>
        <v>#DIV/0!</v>
      </c>
      <c r="G108" s="52" t="e">
        <f t="shared" si="62"/>
        <v>#DIV/0!</v>
      </c>
      <c r="H108" s="52" t="e">
        <f t="shared" si="62"/>
        <v>#DIV/0!</v>
      </c>
      <c r="I108" s="52" t="e">
        <f t="shared" si="62"/>
        <v>#DIV/0!</v>
      </c>
      <c r="J108" s="52" t="e">
        <f t="shared" si="62"/>
        <v>#DIV/0!</v>
      </c>
      <c r="K108" s="52" t="e">
        <f t="shared" si="62"/>
        <v>#DIV/0!</v>
      </c>
      <c r="L108" s="52" t="e">
        <f t="shared" si="62"/>
        <v>#DIV/0!</v>
      </c>
      <c r="M108" s="52" t="e">
        <f t="shared" si="62"/>
        <v>#DIV/0!</v>
      </c>
      <c r="N108" s="52" t="e">
        <f t="shared" si="62"/>
        <v>#DIV/0!</v>
      </c>
      <c r="O108" s="52" t="e">
        <f t="shared" si="62"/>
        <v>#DIV/0!</v>
      </c>
    </row>
    <row r="109" spans="2:15">
      <c r="B109" s="51">
        <v>23</v>
      </c>
      <c r="C109" s="52"/>
      <c r="D109" s="52" t="e">
        <f t="shared" si="62"/>
        <v>#DIV/0!</v>
      </c>
      <c r="E109" s="52" t="e">
        <f t="shared" si="62"/>
        <v>#DIV/0!</v>
      </c>
      <c r="F109" s="52" t="e">
        <f t="shared" si="62"/>
        <v>#DIV/0!</v>
      </c>
      <c r="G109" s="52" t="e">
        <f t="shared" si="62"/>
        <v>#DIV/0!</v>
      </c>
      <c r="H109" s="52" t="e">
        <f t="shared" si="62"/>
        <v>#DIV/0!</v>
      </c>
      <c r="I109" s="52" t="e">
        <f t="shared" si="62"/>
        <v>#DIV/0!</v>
      </c>
      <c r="J109" s="52" t="e">
        <f t="shared" si="62"/>
        <v>#DIV/0!</v>
      </c>
      <c r="K109" s="52" t="e">
        <f t="shared" si="62"/>
        <v>#DIV/0!</v>
      </c>
      <c r="L109" s="52" t="e">
        <f t="shared" si="62"/>
        <v>#DIV/0!</v>
      </c>
      <c r="M109" s="52" t="e">
        <f t="shared" si="62"/>
        <v>#DIV/0!</v>
      </c>
      <c r="N109" s="52" t="e">
        <f t="shared" si="62"/>
        <v>#DIV/0!</v>
      </c>
      <c r="O109" s="52" t="e">
        <f t="shared" si="62"/>
        <v>#DIV/0!</v>
      </c>
    </row>
    <row r="110" spans="2:15">
      <c r="B110" s="51">
        <v>24</v>
      </c>
      <c r="C110" s="52"/>
      <c r="D110" s="52" t="e">
        <f t="shared" si="62"/>
        <v>#DIV/0!</v>
      </c>
      <c r="E110" s="52" t="e">
        <f t="shared" si="62"/>
        <v>#DIV/0!</v>
      </c>
      <c r="F110" s="52" t="e">
        <f t="shared" si="62"/>
        <v>#DIV/0!</v>
      </c>
      <c r="G110" s="52" t="e">
        <f t="shared" si="62"/>
        <v>#DIV/0!</v>
      </c>
      <c r="H110" s="52" t="e">
        <f t="shared" si="62"/>
        <v>#DIV/0!</v>
      </c>
      <c r="I110" s="52" t="e">
        <f t="shared" si="62"/>
        <v>#DIV/0!</v>
      </c>
      <c r="J110" s="52" t="e">
        <f t="shared" si="62"/>
        <v>#DIV/0!</v>
      </c>
      <c r="K110" s="52" t="e">
        <f t="shared" si="62"/>
        <v>#DIV/0!</v>
      </c>
      <c r="L110" s="52" t="e">
        <f t="shared" si="62"/>
        <v>#DIV/0!</v>
      </c>
      <c r="M110" s="52" t="e">
        <f t="shared" si="62"/>
        <v>#DIV/0!</v>
      </c>
      <c r="N110" s="52" t="e">
        <f t="shared" si="62"/>
        <v>#DIV/0!</v>
      </c>
      <c r="O110" s="52" t="e">
        <f t="shared" si="62"/>
        <v>#DIV/0!</v>
      </c>
    </row>
    <row r="111" spans="2:15">
      <c r="B111" s="51">
        <v>25</v>
      </c>
      <c r="C111" s="52"/>
      <c r="D111" s="52" t="e">
        <f t="shared" si="62"/>
        <v>#DIV/0!</v>
      </c>
      <c r="E111" s="52" t="e">
        <f t="shared" si="62"/>
        <v>#DIV/0!</v>
      </c>
      <c r="F111" s="52" t="e">
        <f t="shared" si="62"/>
        <v>#DIV/0!</v>
      </c>
      <c r="G111" s="52" t="e">
        <f t="shared" si="62"/>
        <v>#DIV/0!</v>
      </c>
      <c r="H111" s="52" t="e">
        <f t="shared" si="62"/>
        <v>#DIV/0!</v>
      </c>
      <c r="I111" s="52" t="e">
        <f t="shared" si="62"/>
        <v>#DIV/0!</v>
      </c>
      <c r="J111" s="52" t="e">
        <f t="shared" si="62"/>
        <v>#DIV/0!</v>
      </c>
      <c r="K111" s="52" t="e">
        <f t="shared" si="62"/>
        <v>#DIV/0!</v>
      </c>
      <c r="L111" s="52" t="e">
        <f t="shared" si="62"/>
        <v>#DIV/0!</v>
      </c>
      <c r="M111" s="52" t="e">
        <f t="shared" si="62"/>
        <v>#DIV/0!</v>
      </c>
      <c r="N111" s="52" t="e">
        <f t="shared" si="62"/>
        <v>#DIV/0!</v>
      </c>
      <c r="O111" s="52" t="e">
        <f t="shared" si="62"/>
        <v>#DIV/0!</v>
      </c>
    </row>
    <row r="112" spans="2:15">
      <c r="B112" s="51">
        <v>26</v>
      </c>
      <c r="C112" s="52"/>
      <c r="D112" s="52" t="e">
        <f t="shared" si="62"/>
        <v>#DIV/0!</v>
      </c>
      <c r="E112" s="52" t="e">
        <f t="shared" si="62"/>
        <v>#DIV/0!</v>
      </c>
      <c r="F112" s="52" t="e">
        <f t="shared" si="62"/>
        <v>#DIV/0!</v>
      </c>
      <c r="G112" s="52" t="e">
        <f t="shared" si="62"/>
        <v>#DIV/0!</v>
      </c>
      <c r="H112" s="52" t="e">
        <f t="shared" si="62"/>
        <v>#DIV/0!</v>
      </c>
      <c r="I112" s="52" t="e">
        <f t="shared" si="62"/>
        <v>#DIV/0!</v>
      </c>
      <c r="J112" s="52" t="e">
        <f t="shared" si="62"/>
        <v>#DIV/0!</v>
      </c>
      <c r="K112" s="52" t="e">
        <f t="shared" si="62"/>
        <v>#DIV/0!</v>
      </c>
      <c r="L112" s="52" t="e">
        <f t="shared" si="62"/>
        <v>#DIV/0!</v>
      </c>
      <c r="M112" s="52" t="e">
        <f t="shared" si="62"/>
        <v>#DIV/0!</v>
      </c>
      <c r="N112" s="52" t="e">
        <f t="shared" si="62"/>
        <v>#DIV/0!</v>
      </c>
      <c r="O112" s="52" t="e">
        <f t="shared" si="62"/>
        <v>#DIV/0!</v>
      </c>
    </row>
    <row r="113" spans="2:18">
      <c r="B113" s="51">
        <v>27</v>
      </c>
      <c r="C113" s="52"/>
      <c r="D113" s="52" t="e">
        <f t="shared" si="62"/>
        <v>#DIV/0!</v>
      </c>
      <c r="E113" s="52" t="e">
        <f t="shared" si="62"/>
        <v>#DIV/0!</v>
      </c>
      <c r="F113" s="52" t="e">
        <f t="shared" si="62"/>
        <v>#DIV/0!</v>
      </c>
      <c r="G113" s="52" t="e">
        <f t="shared" si="62"/>
        <v>#DIV/0!</v>
      </c>
      <c r="H113" s="52" t="e">
        <f t="shared" si="62"/>
        <v>#DIV/0!</v>
      </c>
      <c r="I113" s="52" t="e">
        <f t="shared" si="62"/>
        <v>#DIV/0!</v>
      </c>
      <c r="J113" s="52" t="e">
        <f t="shared" si="62"/>
        <v>#DIV/0!</v>
      </c>
      <c r="K113" s="52" t="e">
        <f t="shared" si="62"/>
        <v>#DIV/0!</v>
      </c>
      <c r="L113" s="52" t="e">
        <f t="shared" si="62"/>
        <v>#DIV/0!</v>
      </c>
      <c r="M113" s="52" t="e">
        <f t="shared" si="62"/>
        <v>#DIV/0!</v>
      </c>
      <c r="N113" s="52" t="e">
        <f t="shared" si="62"/>
        <v>#DIV/0!</v>
      </c>
      <c r="O113" s="52" t="e">
        <f t="shared" si="62"/>
        <v>#DIV/0!</v>
      </c>
    </row>
    <row r="114" spans="2:18">
      <c r="B114" s="51">
        <v>28</v>
      </c>
      <c r="C114" s="52"/>
      <c r="D114" s="52" t="e">
        <f t="shared" si="62"/>
        <v>#DIV/0!</v>
      </c>
      <c r="E114" s="52" t="e">
        <f t="shared" si="62"/>
        <v>#DIV/0!</v>
      </c>
      <c r="F114" s="52" t="e">
        <f t="shared" si="62"/>
        <v>#DIV/0!</v>
      </c>
      <c r="G114" s="52" t="e">
        <f t="shared" si="62"/>
        <v>#DIV/0!</v>
      </c>
      <c r="H114" s="52" t="e">
        <f t="shared" si="62"/>
        <v>#DIV/0!</v>
      </c>
      <c r="I114" s="52" t="e">
        <f t="shared" si="62"/>
        <v>#DIV/0!</v>
      </c>
      <c r="J114" s="52" t="e">
        <f t="shared" si="62"/>
        <v>#DIV/0!</v>
      </c>
      <c r="K114" s="52" t="e">
        <f t="shared" si="62"/>
        <v>#DIV/0!</v>
      </c>
      <c r="L114" s="52" t="e">
        <f t="shared" si="62"/>
        <v>#DIV/0!</v>
      </c>
      <c r="M114" s="52" t="e">
        <f t="shared" si="62"/>
        <v>#DIV/0!</v>
      </c>
      <c r="N114" s="52" t="e">
        <f t="shared" si="62"/>
        <v>#DIV/0!</v>
      </c>
      <c r="O114" s="52" t="e">
        <f t="shared" si="62"/>
        <v>#DIV/0!</v>
      </c>
    </row>
    <row r="115" spans="2:18">
      <c r="B115" s="51">
        <v>29</v>
      </c>
      <c r="C115" s="52"/>
      <c r="D115" s="52" t="e">
        <f t="shared" si="62"/>
        <v>#DIV/0!</v>
      </c>
      <c r="E115" s="52" t="e">
        <f t="shared" si="62"/>
        <v>#DIV/0!</v>
      </c>
      <c r="F115" s="52" t="e">
        <f t="shared" si="62"/>
        <v>#DIV/0!</v>
      </c>
      <c r="G115" s="52" t="e">
        <f t="shared" si="62"/>
        <v>#DIV/0!</v>
      </c>
      <c r="H115" s="52" t="e">
        <f t="shared" si="62"/>
        <v>#DIV/0!</v>
      </c>
      <c r="I115" s="52" t="e">
        <f t="shared" si="62"/>
        <v>#DIV/0!</v>
      </c>
      <c r="J115" s="52" t="e">
        <f t="shared" si="62"/>
        <v>#DIV/0!</v>
      </c>
      <c r="K115" s="52" t="e">
        <f t="shared" si="62"/>
        <v>#DIV/0!</v>
      </c>
      <c r="L115" s="52" t="e">
        <f t="shared" si="62"/>
        <v>#DIV/0!</v>
      </c>
      <c r="M115" s="52" t="e">
        <f t="shared" si="62"/>
        <v>#DIV/0!</v>
      </c>
      <c r="N115" s="52" t="e">
        <f t="shared" si="62"/>
        <v>#DIV/0!</v>
      </c>
      <c r="O115" s="52" t="e">
        <f t="shared" si="62"/>
        <v>#DIV/0!</v>
      </c>
    </row>
    <row r="116" spans="2:18">
      <c r="B116" s="51">
        <v>30</v>
      </c>
      <c r="C116" s="52"/>
      <c r="D116" s="52" t="e">
        <f t="shared" si="62"/>
        <v>#DIV/0!</v>
      </c>
      <c r="E116" s="52" t="e">
        <f t="shared" si="62"/>
        <v>#DIV/0!</v>
      </c>
      <c r="F116" s="52" t="e">
        <f t="shared" si="62"/>
        <v>#DIV/0!</v>
      </c>
      <c r="G116" s="52" t="e">
        <f t="shared" si="62"/>
        <v>#DIV/0!</v>
      </c>
      <c r="H116" s="52" t="e">
        <f t="shared" si="62"/>
        <v>#DIV/0!</v>
      </c>
      <c r="I116" s="52" t="e">
        <f t="shared" si="62"/>
        <v>#DIV/0!</v>
      </c>
      <c r="J116" s="52" t="e">
        <f t="shared" si="62"/>
        <v>#DIV/0!</v>
      </c>
      <c r="K116" s="52" t="e">
        <f t="shared" si="62"/>
        <v>#DIV/0!</v>
      </c>
      <c r="L116" s="52" t="e">
        <f t="shared" si="62"/>
        <v>#DIV/0!</v>
      </c>
      <c r="M116" s="52" t="e">
        <f t="shared" si="62"/>
        <v>#DIV/0!</v>
      </c>
      <c r="N116" s="52" t="e">
        <f t="shared" si="62"/>
        <v>#DIV/0!</v>
      </c>
      <c r="O116" s="52" t="e">
        <f t="shared" si="62"/>
        <v>#DIV/0!</v>
      </c>
    </row>
    <row r="117" spans="2:18">
      <c r="C117" s="52"/>
      <c r="D117" s="52"/>
      <c r="E117" s="52"/>
      <c r="F117" s="52"/>
      <c r="G117" s="52"/>
      <c r="H117" s="52"/>
      <c r="I117" s="52"/>
      <c r="J117" s="52"/>
      <c r="K117" s="52"/>
      <c r="L117" s="52"/>
      <c r="M117" s="52"/>
      <c r="N117" s="52"/>
      <c r="O117" s="52"/>
    </row>
    <row r="118" spans="2:18" ht="16">
      <c r="B118" s="51" t="s">
        <v>113</v>
      </c>
      <c r="C118" s="52"/>
      <c r="D118" s="52"/>
      <c r="E118" s="52" t="e">
        <f>D87+C88</f>
        <v>#DIV/0!</v>
      </c>
      <c r="F118" s="52" t="e">
        <f>E87+D88+C89</f>
        <v>#DIV/0!</v>
      </c>
      <c r="G118" s="52" t="e">
        <f>F87+E88+D89+C90</f>
        <v>#DIV/0!</v>
      </c>
      <c r="H118" s="52" t="e">
        <f>G87+F88+E89+D90+C91</f>
        <v>#DIV/0!</v>
      </c>
      <c r="I118" s="52" t="e">
        <f>H87+G88+F89+E90+D91+C92</f>
        <v>#DIV/0!</v>
      </c>
      <c r="J118" s="52" t="e">
        <f>I87+H88+G89+F90+E91+D92+C93</f>
        <v>#DIV/0!</v>
      </c>
      <c r="K118" s="52" t="e">
        <f>J87+I88+H89+G90+F91+E92+D93+C94</f>
        <v>#DIV/0!</v>
      </c>
      <c r="L118" s="52" t="e">
        <f>K87+J88+I89+H90+G91+F92+E93+D94+C95</f>
        <v>#DIV/0!</v>
      </c>
      <c r="M118" s="52" t="e">
        <f>L87+K88+J89+I90+H91+G92+F93+E94+D95+C96</f>
        <v>#DIV/0!</v>
      </c>
      <c r="N118" s="52" t="e">
        <f>M87+L88+K89+J90+I91+H92+G93+F94+E95+D96+C97</f>
        <v>#DIV/0!</v>
      </c>
      <c r="O118" s="52" t="e">
        <f>N87+M88+L89+K90+J91+I92+H93+G94+F95+E96+D97</f>
        <v>#DIV/0!</v>
      </c>
      <c r="P118" s="52"/>
      <c r="Q118" s="52"/>
      <c r="R118" s="52"/>
    </row>
    <row r="119" spans="2:18" ht="16">
      <c r="B119" s="51" t="s">
        <v>114</v>
      </c>
      <c r="C119" s="52"/>
      <c r="D119" s="52"/>
      <c r="E119" s="52"/>
      <c r="F119" s="52"/>
      <c r="G119" s="52"/>
      <c r="H119" s="52"/>
      <c r="I119" s="52"/>
      <c r="J119" s="52"/>
      <c r="K119" s="52"/>
      <c r="L119" s="52"/>
      <c r="M119" s="52"/>
      <c r="N119" s="52"/>
      <c r="O119" s="52"/>
      <c r="P119" s="52"/>
      <c r="Q119" s="52"/>
      <c r="R119" s="52"/>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FAA05-3250-AB44-86FF-408CB79BB03B}">
  <sheetPr>
    <tabColor theme="5" tint="0.59999389629810485"/>
  </sheetPr>
  <dimension ref="A2:XEY146"/>
  <sheetViews>
    <sheetView zoomScale="90" zoomScaleNormal="90" workbookViewId="0">
      <selection activeCell="C3" sqref="C3"/>
    </sheetView>
  </sheetViews>
  <sheetFormatPr baseColWidth="10" defaultColWidth="10.83203125" defaultRowHeight="15"/>
  <cols>
    <col min="1" max="1" width="4.83203125" style="37" customWidth="1"/>
    <col min="2" max="2" width="51.1640625" style="51" customWidth="1"/>
    <col min="3" max="14" width="10.83203125" style="37" customWidth="1"/>
    <col min="15" max="15" width="11.33203125" style="37" bestFit="1" customWidth="1"/>
    <col min="16" max="51" width="6.83203125" style="37" customWidth="1"/>
    <col min="52" max="16378" width="10.83203125" style="37"/>
    <col min="16379" max="16379" width="14" style="37" bestFit="1" customWidth="1"/>
    <col min="16380" max="16384" width="10.83203125" style="37"/>
  </cols>
  <sheetData>
    <row r="2" spans="2:51 16379:16379" ht="16">
      <c r="B2" s="49" t="s">
        <v>383</v>
      </c>
      <c r="C2" s="50">
        <v>2022</v>
      </c>
      <c r="D2" s="50">
        <v>2023</v>
      </c>
      <c r="E2" s="50">
        <v>2024</v>
      </c>
      <c r="F2" s="50">
        <v>2025</v>
      </c>
      <c r="G2" s="50">
        <v>2026</v>
      </c>
      <c r="H2" s="50">
        <v>2027</v>
      </c>
      <c r="I2" s="50">
        <v>2028</v>
      </c>
      <c r="J2" s="50">
        <v>2029</v>
      </c>
      <c r="K2" s="50">
        <v>2030</v>
      </c>
      <c r="L2" s="50">
        <v>2031</v>
      </c>
      <c r="M2" s="50">
        <v>2032</v>
      </c>
      <c r="N2" s="50">
        <v>2033</v>
      </c>
      <c r="O2" s="50">
        <v>2034</v>
      </c>
      <c r="P2" s="50">
        <v>2035</v>
      </c>
      <c r="Q2" s="50">
        <v>2036</v>
      </c>
      <c r="R2" s="50">
        <v>2037</v>
      </c>
      <c r="S2" s="50">
        <v>2038</v>
      </c>
      <c r="T2" s="50">
        <v>2039</v>
      </c>
      <c r="U2" s="50">
        <v>2040</v>
      </c>
      <c r="V2" s="50">
        <v>2041</v>
      </c>
      <c r="W2" s="50">
        <v>2042</v>
      </c>
      <c r="X2" s="50">
        <v>2043</v>
      </c>
      <c r="Y2" s="50">
        <v>2044</v>
      </c>
      <c r="Z2" s="50">
        <v>2045</v>
      </c>
      <c r="AA2" s="50">
        <v>2046</v>
      </c>
      <c r="AB2" s="50">
        <v>2047</v>
      </c>
      <c r="AC2" s="50">
        <v>2048</v>
      </c>
      <c r="AD2" s="50">
        <v>2049</v>
      </c>
      <c r="AE2" s="50">
        <v>2050</v>
      </c>
      <c r="AF2" s="50">
        <v>2051</v>
      </c>
      <c r="AG2" s="50">
        <v>2052</v>
      </c>
      <c r="AH2" s="50">
        <v>2053</v>
      </c>
      <c r="AI2" s="50">
        <v>2054</v>
      </c>
      <c r="AJ2" s="50">
        <v>2055</v>
      </c>
      <c r="AK2" s="50">
        <v>2056</v>
      </c>
      <c r="AL2" s="50">
        <v>2057</v>
      </c>
      <c r="AM2" s="50">
        <v>2058</v>
      </c>
      <c r="AN2" s="50">
        <v>2059</v>
      </c>
      <c r="AO2" s="50">
        <v>2060</v>
      </c>
      <c r="AP2" s="50">
        <v>2061</v>
      </c>
      <c r="AQ2" s="50">
        <v>2062</v>
      </c>
      <c r="AR2" s="50">
        <v>2063</v>
      </c>
      <c r="AS2" s="50">
        <v>2064</v>
      </c>
      <c r="AT2" s="50">
        <v>2065</v>
      </c>
      <c r="AU2" s="50">
        <v>2066</v>
      </c>
      <c r="AV2" s="50">
        <v>2067</v>
      </c>
      <c r="AW2" s="50">
        <v>2068</v>
      </c>
      <c r="AX2" s="50">
        <v>2069</v>
      </c>
      <c r="AY2" s="50">
        <v>2070</v>
      </c>
    </row>
    <row r="3" spans="2:51 16379:16379" ht="16">
      <c r="B3" s="51" t="s">
        <v>172</v>
      </c>
      <c r="C3" s="52">
        <f>Supuestos!E17</f>
        <v>4256</v>
      </c>
      <c r="D3" s="52">
        <f>Supuestos!F17</f>
        <v>0</v>
      </c>
      <c r="E3" s="52">
        <f>Supuestos!G17</f>
        <v>0</v>
      </c>
      <c r="F3" s="52">
        <f>Supuestos!H17</f>
        <v>0</v>
      </c>
      <c r="G3" s="52">
        <f>Supuestos!I17</f>
        <v>0</v>
      </c>
      <c r="H3" s="52">
        <f>Supuestos!J17</f>
        <v>0</v>
      </c>
      <c r="I3" s="52">
        <f>Supuestos!K17</f>
        <v>0</v>
      </c>
      <c r="J3" s="52">
        <f>Supuestos!L17</f>
        <v>0</v>
      </c>
      <c r="K3" s="52">
        <f>Supuestos!M17</f>
        <v>0</v>
      </c>
      <c r="L3" s="52">
        <f>Supuestos!N17</f>
        <v>0</v>
      </c>
      <c r="M3" s="52">
        <f>Supuestos!O17</f>
        <v>0</v>
      </c>
      <c r="N3" s="52">
        <f>Supuestos!P17</f>
        <v>0</v>
      </c>
      <c r="O3" s="52">
        <f>Supuestos!Q17</f>
        <v>0</v>
      </c>
      <c r="P3" s="52">
        <f>Supuestos!R17</f>
        <v>0</v>
      </c>
      <c r="Q3" s="52">
        <f>Supuestos!S17</f>
        <v>0</v>
      </c>
      <c r="R3" s="52">
        <f>Supuestos!T17</f>
        <v>0</v>
      </c>
      <c r="S3" s="52">
        <f>Supuestos!U17</f>
        <v>0</v>
      </c>
      <c r="T3" s="52">
        <f>Supuestos!V17</f>
        <v>0</v>
      </c>
      <c r="U3" s="52">
        <f>Supuestos!W17</f>
        <v>0</v>
      </c>
      <c r="V3" s="52">
        <f>Supuestos!X17</f>
        <v>0</v>
      </c>
      <c r="W3" s="52">
        <f>Supuestos!Y17</f>
        <v>0</v>
      </c>
      <c r="X3" s="52">
        <f>Supuestos!Z17</f>
        <v>0</v>
      </c>
      <c r="Y3" s="52">
        <f>Supuestos!AA17</f>
        <v>0</v>
      </c>
      <c r="Z3" s="52">
        <f>Supuestos!AB17</f>
        <v>0</v>
      </c>
      <c r="AA3" s="52">
        <f>Supuestos!AC17</f>
        <v>0</v>
      </c>
      <c r="AB3" s="52">
        <f>Supuestos!AD17</f>
        <v>0</v>
      </c>
      <c r="AC3" s="52">
        <f>Supuestos!AE17</f>
        <v>0</v>
      </c>
      <c r="AD3" s="52">
        <f>Supuestos!AF17</f>
        <v>0</v>
      </c>
      <c r="AE3" s="52">
        <f>Supuestos!AG17</f>
        <v>0</v>
      </c>
      <c r="AF3" s="52">
        <f>Supuestos!AH17</f>
        <v>0</v>
      </c>
      <c r="AG3" s="52">
        <f>Supuestos!AI17</f>
        <v>0</v>
      </c>
      <c r="AH3" s="52">
        <f>Supuestos!AJ17</f>
        <v>0</v>
      </c>
      <c r="AI3" s="52">
        <f>Supuestos!AK17</f>
        <v>0</v>
      </c>
      <c r="AJ3" s="52">
        <f>Supuestos!AL17</f>
        <v>0</v>
      </c>
      <c r="AK3" s="52">
        <f>Supuestos!AM17</f>
        <v>0</v>
      </c>
      <c r="AL3" s="52">
        <f>Supuestos!AN17</f>
        <v>0</v>
      </c>
      <c r="AM3" s="52">
        <f>Supuestos!AO17</f>
        <v>0</v>
      </c>
      <c r="AN3" s="52">
        <f>Supuestos!AP17</f>
        <v>0</v>
      </c>
      <c r="AO3" s="52">
        <f>Supuestos!AQ17</f>
        <v>0</v>
      </c>
      <c r="AP3" s="52">
        <f>Supuestos!AR17</f>
        <v>0</v>
      </c>
      <c r="AQ3" s="52">
        <f>Supuestos!AS17</f>
        <v>0</v>
      </c>
      <c r="AR3" s="52">
        <f>Supuestos!AT17</f>
        <v>0</v>
      </c>
      <c r="AS3" s="52">
        <f>Supuestos!AU17</f>
        <v>0</v>
      </c>
      <c r="AT3" s="52">
        <f>Supuestos!AV17</f>
        <v>0</v>
      </c>
      <c r="AU3" s="52">
        <f>Supuestos!AW17</f>
        <v>0</v>
      </c>
      <c r="AV3" s="52">
        <f>Supuestos!AX17</f>
        <v>0</v>
      </c>
      <c r="AW3" s="52">
        <f>Supuestos!AY17</f>
        <v>0</v>
      </c>
      <c r="AX3" s="52">
        <f>Supuestos!AZ17</f>
        <v>0</v>
      </c>
      <c r="AY3" s="52">
        <f>Supuestos!BA17</f>
        <v>0</v>
      </c>
    </row>
    <row r="4" spans="2:51 16379:16379" ht="16">
      <c r="B4" s="51" t="s">
        <v>303</v>
      </c>
      <c r="C4" s="52"/>
      <c r="D4" s="52">
        <f>'Deuda a emitir'!B$25*Supuestos!F68</f>
        <v>0</v>
      </c>
      <c r="E4" s="52" t="e">
        <f>'Deuda a emitir'!C$25*Supuestos!G68</f>
        <v>#DIV/0!</v>
      </c>
      <c r="F4" s="52" t="e">
        <f>'Deuda a emitir'!D$25*Supuestos!H68</f>
        <v>#DIV/0!</v>
      </c>
      <c r="G4" s="52" t="e">
        <f>'Deuda a emitir'!E$25*Supuestos!I68</f>
        <v>#DIV/0!</v>
      </c>
      <c r="H4" s="52" t="e">
        <f>'Deuda a emitir'!F$25*Supuestos!J68</f>
        <v>#DIV/0!</v>
      </c>
      <c r="I4" s="52" t="e">
        <f>'Deuda a emitir'!G$25*Supuestos!K68</f>
        <v>#DIV/0!</v>
      </c>
      <c r="J4" s="52" t="e">
        <f>'Deuda a emitir'!H$25*Supuestos!L68</f>
        <v>#DIV/0!</v>
      </c>
      <c r="K4" s="52" t="e">
        <f>'Deuda a emitir'!I$25*Supuestos!M68</f>
        <v>#DIV/0!</v>
      </c>
      <c r="L4" s="52" t="e">
        <f>'Deuda a emitir'!J$25*Supuestos!N68</f>
        <v>#DIV/0!</v>
      </c>
      <c r="M4" s="52" t="e">
        <f>'Deuda a emitir'!K$25*Supuestos!O68</f>
        <v>#DIV/0!</v>
      </c>
      <c r="N4" s="52" t="e">
        <f>'Deuda a emitir'!L$25*Supuestos!P68</f>
        <v>#DIV/0!</v>
      </c>
      <c r="O4" s="52" t="e">
        <f>'Deuda a emitir'!M$25*Supuestos!Q68</f>
        <v>#DIV/0!</v>
      </c>
      <c r="P4" s="52"/>
      <c r="Q4" s="52"/>
      <c r="R4" s="52"/>
    </row>
    <row r="5" spans="2:51 16379:16379" ht="16">
      <c r="B5" s="51" t="s">
        <v>173</v>
      </c>
      <c r="C5" s="57"/>
      <c r="D5" s="57">
        <f>'Deuda a emitir'!B$35*Supuestos!F68</f>
        <v>0</v>
      </c>
      <c r="E5" s="57">
        <f>'Deuda a emitir'!C$35*Supuestos!G68</f>
        <v>0</v>
      </c>
      <c r="F5" s="57">
        <f>'Deuda a emitir'!D$35*Supuestos!H68</f>
        <v>0</v>
      </c>
      <c r="G5" s="57">
        <f>'Deuda a emitir'!E$35*Supuestos!I68</f>
        <v>0</v>
      </c>
      <c r="H5" s="57">
        <f>'Deuda a emitir'!F$35*Supuestos!J68</f>
        <v>0</v>
      </c>
      <c r="I5" s="57">
        <f>'Deuda a emitir'!G$35*Supuestos!K68</f>
        <v>0</v>
      </c>
      <c r="J5" s="57">
        <f>'Deuda a emitir'!H$35*Supuestos!L68</f>
        <v>0</v>
      </c>
      <c r="K5" s="57">
        <f>'Deuda a emitir'!I$35*Supuestos!M68</f>
        <v>0</v>
      </c>
      <c r="L5" s="57">
        <f>'Deuda a emitir'!J$35*Supuestos!N68</f>
        <v>0</v>
      </c>
      <c r="M5" s="57">
        <f>'Deuda a emitir'!K$35*Supuestos!O68</f>
        <v>0</v>
      </c>
      <c r="N5" s="57">
        <f>'Deuda a emitir'!L$35*Supuestos!P68</f>
        <v>0</v>
      </c>
      <c r="O5" s="57">
        <f>'Deuda a emitir'!M$35*Supuestos!Q68</f>
        <v>0</v>
      </c>
      <c r="P5" s="52"/>
      <c r="Q5" s="52"/>
      <c r="R5" s="52"/>
      <c r="XEY5" s="37">
        <f>SUM(A5:XEX5)</f>
        <v>0</v>
      </c>
    </row>
    <row r="6" spans="2:51 16379:16379" ht="16">
      <c r="B6" s="58" t="s">
        <v>174</v>
      </c>
      <c r="C6" s="59"/>
      <c r="D6" s="59">
        <f t="shared" ref="D6:M6" si="0">+(D4+D5)</f>
        <v>0</v>
      </c>
      <c r="E6" s="59" t="e">
        <f t="shared" si="0"/>
        <v>#DIV/0!</v>
      </c>
      <c r="F6" s="59" t="e">
        <f t="shared" si="0"/>
        <v>#DIV/0!</v>
      </c>
      <c r="G6" s="59" t="e">
        <f t="shared" si="0"/>
        <v>#DIV/0!</v>
      </c>
      <c r="H6" s="59" t="e">
        <f t="shared" si="0"/>
        <v>#DIV/0!</v>
      </c>
      <c r="I6" s="59" t="e">
        <f t="shared" si="0"/>
        <v>#DIV/0!</v>
      </c>
      <c r="J6" s="59" t="e">
        <f t="shared" si="0"/>
        <v>#DIV/0!</v>
      </c>
      <c r="K6" s="59" t="e">
        <f t="shared" si="0"/>
        <v>#DIV/0!</v>
      </c>
      <c r="L6" s="59" t="e">
        <f t="shared" si="0"/>
        <v>#DIV/0!</v>
      </c>
      <c r="M6" s="59" t="e">
        <f t="shared" si="0"/>
        <v>#DIV/0!</v>
      </c>
      <c r="N6" s="59" t="e">
        <f>+(N4+N5)</f>
        <v>#DIV/0!</v>
      </c>
      <c r="O6" s="59" t="e">
        <f>+(O4+O5)</f>
        <v>#DIV/0!</v>
      </c>
      <c r="P6" s="52"/>
      <c r="Q6" s="52"/>
      <c r="R6" s="52"/>
    </row>
    <row r="7" spans="2:51 16379:16379" ht="16">
      <c r="B7" s="396" t="s">
        <v>176</v>
      </c>
      <c r="C7" s="397"/>
      <c r="D7" s="447" t="e">
        <f t="shared" ref="D7:N7" si="1">D4/D$3</f>
        <v>#DIV/0!</v>
      </c>
      <c r="E7" s="447" t="e">
        <f t="shared" si="1"/>
        <v>#DIV/0!</v>
      </c>
      <c r="F7" s="447" t="e">
        <f t="shared" si="1"/>
        <v>#DIV/0!</v>
      </c>
      <c r="G7" s="447" t="e">
        <f t="shared" si="1"/>
        <v>#DIV/0!</v>
      </c>
      <c r="H7" s="447" t="e">
        <f t="shared" si="1"/>
        <v>#DIV/0!</v>
      </c>
      <c r="I7" s="447" t="e">
        <f t="shared" si="1"/>
        <v>#DIV/0!</v>
      </c>
      <c r="J7" s="447" t="e">
        <f t="shared" si="1"/>
        <v>#DIV/0!</v>
      </c>
      <c r="K7" s="447" t="e">
        <f t="shared" si="1"/>
        <v>#DIV/0!</v>
      </c>
      <c r="L7" s="447" t="e">
        <f t="shared" si="1"/>
        <v>#DIV/0!</v>
      </c>
      <c r="M7" s="447" t="e">
        <f t="shared" si="1"/>
        <v>#DIV/0!</v>
      </c>
      <c r="N7" s="447" t="e">
        <f t="shared" si="1"/>
        <v>#DIV/0!</v>
      </c>
      <c r="O7" s="447" t="e">
        <f t="shared" ref="O7" si="2">O4/O$3</f>
        <v>#DIV/0!</v>
      </c>
      <c r="P7" s="52"/>
      <c r="Q7" s="52"/>
      <c r="R7" s="52"/>
    </row>
    <row r="8" spans="2:51 16379:16379" ht="16">
      <c r="B8" s="396" t="s">
        <v>177</v>
      </c>
      <c r="C8" s="397"/>
      <c r="D8" s="447" t="e">
        <f t="shared" ref="D8:N8" si="3">D5/D$3</f>
        <v>#DIV/0!</v>
      </c>
      <c r="E8" s="447" t="e">
        <f t="shared" si="3"/>
        <v>#DIV/0!</v>
      </c>
      <c r="F8" s="447" t="e">
        <f t="shared" si="3"/>
        <v>#DIV/0!</v>
      </c>
      <c r="G8" s="447" t="e">
        <f t="shared" si="3"/>
        <v>#DIV/0!</v>
      </c>
      <c r="H8" s="447" t="e">
        <f t="shared" si="3"/>
        <v>#DIV/0!</v>
      </c>
      <c r="I8" s="447" t="e">
        <f t="shared" si="3"/>
        <v>#DIV/0!</v>
      </c>
      <c r="J8" s="447" t="e">
        <f t="shared" si="3"/>
        <v>#DIV/0!</v>
      </c>
      <c r="K8" s="447" t="e">
        <f t="shared" si="3"/>
        <v>#DIV/0!</v>
      </c>
      <c r="L8" s="447" t="e">
        <f t="shared" si="3"/>
        <v>#DIV/0!</v>
      </c>
      <c r="M8" s="447" t="e">
        <f t="shared" si="3"/>
        <v>#DIV/0!</v>
      </c>
      <c r="N8" s="447" t="e">
        <f t="shared" si="3"/>
        <v>#DIV/0!</v>
      </c>
      <c r="O8" s="447" t="e">
        <f t="shared" ref="O8" si="4">O5/O$3</f>
        <v>#DIV/0!</v>
      </c>
      <c r="P8" s="52"/>
      <c r="Q8" s="52"/>
      <c r="R8" s="52"/>
    </row>
    <row r="9" spans="2:51 16379:16379" ht="16">
      <c r="B9" s="396" t="s">
        <v>178</v>
      </c>
      <c r="C9" s="397"/>
      <c r="D9" s="447" t="e">
        <f t="shared" ref="D9:M9" si="5">D6/D$3</f>
        <v>#DIV/0!</v>
      </c>
      <c r="E9" s="447" t="e">
        <f t="shared" si="5"/>
        <v>#DIV/0!</v>
      </c>
      <c r="F9" s="447" t="e">
        <f t="shared" si="5"/>
        <v>#DIV/0!</v>
      </c>
      <c r="G9" s="447" t="e">
        <f t="shared" si="5"/>
        <v>#DIV/0!</v>
      </c>
      <c r="H9" s="447" t="e">
        <f t="shared" si="5"/>
        <v>#DIV/0!</v>
      </c>
      <c r="I9" s="447" t="e">
        <f t="shared" si="5"/>
        <v>#DIV/0!</v>
      </c>
      <c r="J9" s="447" t="e">
        <f t="shared" si="5"/>
        <v>#DIV/0!</v>
      </c>
      <c r="K9" s="447" t="e">
        <f t="shared" si="5"/>
        <v>#DIV/0!</v>
      </c>
      <c r="L9" s="447" t="e">
        <f t="shared" si="5"/>
        <v>#DIV/0!</v>
      </c>
      <c r="M9" s="447" t="e">
        <f t="shared" si="5"/>
        <v>#DIV/0!</v>
      </c>
      <c r="N9" s="447" t="e">
        <f>N6/N$3</f>
        <v>#DIV/0!</v>
      </c>
      <c r="O9" s="447" t="e">
        <f t="shared" ref="O9" si="6">O6/O$3</f>
        <v>#DIV/0!</v>
      </c>
      <c r="P9" s="52"/>
      <c r="Q9" s="52"/>
      <c r="R9" s="52"/>
    </row>
    <row r="10" spans="2:51 16379:16379">
      <c r="B10" s="75"/>
      <c r="C10" s="76"/>
      <c r="D10" s="76"/>
      <c r="E10" s="76"/>
      <c r="F10" s="76"/>
      <c r="G10" s="76"/>
      <c r="H10" s="76"/>
      <c r="I10" s="76"/>
      <c r="J10" s="76"/>
      <c r="K10" s="76"/>
      <c r="L10" s="76"/>
      <c r="M10" s="76"/>
      <c r="N10" s="76"/>
      <c r="O10" s="76"/>
      <c r="P10" s="52"/>
      <c r="Q10" s="52"/>
      <c r="R10" s="52"/>
    </row>
    <row r="11" spans="2:51 16379:16379" ht="16">
      <c r="B11" s="51" t="s">
        <v>175</v>
      </c>
      <c r="C11" s="53"/>
      <c r="D11" s="53">
        <f t="shared" ref="D11:N11" si="7">-SUM(D36,D62,D145)</f>
        <v>0</v>
      </c>
      <c r="E11" s="53" t="e">
        <f t="shared" si="7"/>
        <v>#DIV/0!</v>
      </c>
      <c r="F11" s="53" t="e">
        <f t="shared" si="7"/>
        <v>#DIV/0!</v>
      </c>
      <c r="G11" s="53" t="e">
        <f t="shared" si="7"/>
        <v>#DIV/0!</v>
      </c>
      <c r="H11" s="53" t="e">
        <f t="shared" si="7"/>
        <v>#DIV/0!</v>
      </c>
      <c r="I11" s="53" t="e">
        <f t="shared" si="7"/>
        <v>#DIV/0!</v>
      </c>
      <c r="J11" s="53" t="e">
        <f t="shared" si="7"/>
        <v>#DIV/0!</v>
      </c>
      <c r="K11" s="53" t="e">
        <f t="shared" si="7"/>
        <v>#DIV/0!</v>
      </c>
      <c r="L11" s="53" t="e">
        <f t="shared" si="7"/>
        <v>#DIV/0!</v>
      </c>
      <c r="M11" s="53" t="e">
        <f t="shared" si="7"/>
        <v>#DIV/0!</v>
      </c>
      <c r="N11" s="53" t="e">
        <f t="shared" si="7"/>
        <v>#DIV/0!</v>
      </c>
      <c r="O11" s="53" t="e">
        <f t="shared" ref="O11" si="8">-SUM(O36,O62,O145)</f>
        <v>#DIV/0!</v>
      </c>
      <c r="P11" s="52"/>
      <c r="Q11" s="52"/>
      <c r="R11" s="52"/>
    </row>
    <row r="12" spans="2:51 16379:16379" ht="16">
      <c r="B12" s="396" t="s">
        <v>180</v>
      </c>
      <c r="C12" s="397"/>
      <c r="D12" s="447" t="e">
        <f t="shared" ref="D12:N12" si="9">D11/D3</f>
        <v>#DIV/0!</v>
      </c>
      <c r="E12" s="447" t="e">
        <f t="shared" si="9"/>
        <v>#DIV/0!</v>
      </c>
      <c r="F12" s="447" t="e">
        <f>F11/F3</f>
        <v>#DIV/0!</v>
      </c>
      <c r="G12" s="447" t="e">
        <f t="shared" si="9"/>
        <v>#DIV/0!</v>
      </c>
      <c r="H12" s="447" t="e">
        <f t="shared" si="9"/>
        <v>#DIV/0!</v>
      </c>
      <c r="I12" s="447" t="e">
        <f t="shared" si="9"/>
        <v>#DIV/0!</v>
      </c>
      <c r="J12" s="447" t="e">
        <f t="shared" si="9"/>
        <v>#DIV/0!</v>
      </c>
      <c r="K12" s="447" t="e">
        <f t="shared" si="9"/>
        <v>#DIV/0!</v>
      </c>
      <c r="L12" s="447" t="e">
        <f t="shared" si="9"/>
        <v>#DIV/0!</v>
      </c>
      <c r="M12" s="447" t="e">
        <f t="shared" si="9"/>
        <v>#DIV/0!</v>
      </c>
      <c r="N12" s="447" t="e">
        <f t="shared" si="9"/>
        <v>#DIV/0!</v>
      </c>
      <c r="O12" s="447" t="e">
        <f t="shared" ref="O12" si="10">O11/O3</f>
        <v>#DIV/0!</v>
      </c>
      <c r="P12" s="52"/>
      <c r="Q12" s="52"/>
      <c r="R12" s="52"/>
    </row>
    <row r="13" spans="2:51 16379:16379" s="279" customFormat="1" ht="16">
      <c r="B13" s="278" t="s">
        <v>114</v>
      </c>
      <c r="C13" s="53"/>
      <c r="D13" s="53">
        <f t="shared" ref="D13:N13" si="11">-SUM(D37,D63,D146)</f>
        <v>0</v>
      </c>
      <c r="E13" s="53">
        <f t="shared" si="11"/>
        <v>0</v>
      </c>
      <c r="F13" s="53">
        <f>-SUM(F37,F63,F146)</f>
        <v>0</v>
      </c>
      <c r="G13" s="53">
        <f t="shared" si="11"/>
        <v>0</v>
      </c>
      <c r="H13" s="53">
        <f t="shared" si="11"/>
        <v>0</v>
      </c>
      <c r="I13" s="53">
        <f t="shared" si="11"/>
        <v>0</v>
      </c>
      <c r="J13" s="53">
        <f t="shared" si="11"/>
        <v>0</v>
      </c>
      <c r="K13" s="53">
        <f t="shared" si="11"/>
        <v>0</v>
      </c>
      <c r="L13" s="53">
        <f t="shared" si="11"/>
        <v>0</v>
      </c>
      <c r="M13" s="53">
        <f t="shared" si="11"/>
        <v>0</v>
      </c>
      <c r="N13" s="53">
        <f t="shared" si="11"/>
        <v>0</v>
      </c>
      <c r="O13" s="53">
        <f t="shared" ref="O13" si="12">-SUM(O37,O63,O146)</f>
        <v>0</v>
      </c>
      <c r="P13" s="53"/>
      <c r="Q13" s="53"/>
      <c r="R13" s="53"/>
    </row>
    <row r="14" spans="2:51 16379:16379" s="399" customFormat="1" ht="16">
      <c r="B14" s="396" t="s">
        <v>138</v>
      </c>
      <c r="C14" s="397"/>
      <c r="D14" s="447">
        <f>SUMIF($B$21:C$21,"="&amp;D2,$B$26:C$26)+SUMIF($B$42:C$42,"="&amp;D2,$B$47:C$47)+SUMIF($B$105:C$105,"="&amp;D2,$B$110:C$110)</f>
        <v>0</v>
      </c>
      <c r="E14" s="447">
        <f>SUMIF($B$21:D$21,"="&amp;E2,$B$26:D$26)+SUMIF($B$42:D$42,"="&amp;E2,$B$47:D$47)+SUMIF($B$105:D$105,"="&amp;E2,$B$110:D$110)</f>
        <v>0</v>
      </c>
      <c r="F14" s="447">
        <f>SUMIF($B$21:E$21,"="&amp;F2,$B$26:E$26)+SUMIF($B$42:E$42,"="&amp;F2,$B$47:E$47)+SUMIF($B$105:E$105,"="&amp;F2,$B$110:E$110)</f>
        <v>0</v>
      </c>
      <c r="G14" s="447">
        <f>SUMIF($B$21:F$21,"="&amp;G2,$B$26:F$26)+SUMIF($B$42:F$42,"="&amp;G2,$B$47:F$47)+SUMIF($B$105:F$105,"="&amp;G2,$B$110:F$110)</f>
        <v>0</v>
      </c>
      <c r="H14" s="447">
        <f>SUMIF($B$21:G$21,"="&amp;H2,$B$26:G$26)+SUMIF($B$42:G$42,"="&amp;H2,$B$47:G$47)+SUMIF($B$105:G$105,"="&amp;H2,$B$110:G$110)</f>
        <v>0</v>
      </c>
      <c r="I14" s="447" t="e">
        <f>SUMIF($B$21:H$21,"="&amp;I2,$B$26:H$26)+SUMIF($B$42:H$42,"="&amp;I2,$B$47:H$47)+SUMIF($B$105:H$105,"="&amp;I2,$B$110:H$110)</f>
        <v>#DIV/0!</v>
      </c>
      <c r="J14" s="447" t="e">
        <f>SUMIF($B$21:I$21,"="&amp;J2,$B$26:I$26)+SUMIF($B$42:I$42,"="&amp;J2,$B$47:I$47)+SUMIF($B$105:I$105,"="&amp;J2,$B$110:I$110)</f>
        <v>#DIV/0!</v>
      </c>
      <c r="K14" s="447" t="e">
        <f>SUMIF($B$21:J$21,"="&amp;K2,$B$26:J$26)+SUMIF($B$42:J$42,"="&amp;K2,$B$47:J$47)+SUMIF($B$105:J$105,"="&amp;K2,$B$110:J$110)</f>
        <v>#DIV/0!</v>
      </c>
      <c r="L14" s="447" t="e">
        <f>SUMIF($B$21:K$21,"="&amp;L2,$B$26:K$26)+SUMIF($B$42:K$42,"="&amp;L2,$B$47:K$47)+SUMIF($B$105:K$105,"="&amp;L2,$B$110:K$110)</f>
        <v>#DIV/0!</v>
      </c>
      <c r="M14" s="447" t="e">
        <f>SUMIF($B$21:L$21,"="&amp;M2,$B$26:L$26)+SUMIF($B$42:L$42,"="&amp;M2,$B$47:L$47)+SUMIF($B$105:L$105,"="&amp;M2,$B$110:L$110)</f>
        <v>#DIV/0!</v>
      </c>
      <c r="N14" s="447" t="e">
        <f>SUMIF($B$21:M$21,"="&amp;N2,$B$26:M$26)+SUMIF($B$42:M$42,"="&amp;N2,$B$47:M$47)+SUMIF($B$105:M$105,"="&amp;N2,$B$110:M$110)</f>
        <v>#DIV/0!</v>
      </c>
      <c r="O14" s="447" t="e">
        <f>SUMIF($B$21:N$21,"="&amp;O2,$B$26:N$26)+SUMIF($B$42:N$42,"="&amp;O2,$B$47:N$47)+SUMIF($B$105:N$105,"="&amp;O2,$B$110:N$110)</f>
        <v>#DIV/0!</v>
      </c>
      <c r="P14" s="398"/>
      <c r="Q14" s="398"/>
      <c r="R14" s="398"/>
    </row>
    <row r="15" spans="2:51 16379:16379" ht="16">
      <c r="B15" s="51" t="s">
        <v>139</v>
      </c>
      <c r="C15" s="53"/>
      <c r="D15" s="53">
        <f t="shared" ref="D15:N15" si="13">D14*D3</f>
        <v>0</v>
      </c>
      <c r="E15" s="53">
        <f t="shared" si="13"/>
        <v>0</v>
      </c>
      <c r="F15" s="53">
        <f t="shared" si="13"/>
        <v>0</v>
      </c>
      <c r="G15" s="53">
        <f t="shared" si="13"/>
        <v>0</v>
      </c>
      <c r="H15" s="53">
        <f t="shared" si="13"/>
        <v>0</v>
      </c>
      <c r="I15" s="53" t="e">
        <f t="shared" si="13"/>
        <v>#DIV/0!</v>
      </c>
      <c r="J15" s="53" t="e">
        <f t="shared" si="13"/>
        <v>#DIV/0!</v>
      </c>
      <c r="K15" s="53" t="e">
        <f t="shared" si="13"/>
        <v>#DIV/0!</v>
      </c>
      <c r="L15" s="53" t="e">
        <f t="shared" si="13"/>
        <v>#DIV/0!</v>
      </c>
      <c r="M15" s="53" t="e">
        <f t="shared" si="13"/>
        <v>#DIV/0!</v>
      </c>
      <c r="N15" s="53" t="e">
        <f t="shared" si="13"/>
        <v>#DIV/0!</v>
      </c>
      <c r="O15" s="53" t="e">
        <f t="shared" ref="O15" si="14">O14*O3</f>
        <v>#DIV/0!</v>
      </c>
      <c r="P15" s="53"/>
      <c r="Q15" s="52"/>
      <c r="R15" s="52"/>
    </row>
    <row r="16" spans="2:51 16379:16379">
      <c r="C16" s="53"/>
      <c r="D16" s="52"/>
      <c r="E16" s="52"/>
      <c r="F16" s="52"/>
      <c r="G16" s="52"/>
      <c r="H16" s="52"/>
      <c r="I16" s="52"/>
      <c r="J16" s="52"/>
      <c r="K16" s="52"/>
      <c r="L16" s="52"/>
      <c r="M16" s="52"/>
      <c r="N16" s="52"/>
      <c r="O16" s="52"/>
      <c r="P16" s="52"/>
      <c r="Q16" s="52"/>
      <c r="R16" s="52"/>
    </row>
    <row r="18" spans="2:16">
      <c r="B18" s="49">
        <v>5</v>
      </c>
      <c r="C18" s="50">
        <v>2022</v>
      </c>
      <c r="D18" s="50">
        <v>2023</v>
      </c>
      <c r="E18" s="50">
        <v>2024</v>
      </c>
      <c r="F18" s="50">
        <v>2025</v>
      </c>
      <c r="G18" s="50">
        <v>2026</v>
      </c>
      <c r="H18" s="50">
        <v>2027</v>
      </c>
      <c r="I18" s="50">
        <v>2028</v>
      </c>
      <c r="J18" s="50">
        <v>2029</v>
      </c>
      <c r="K18" s="50">
        <v>2030</v>
      </c>
      <c r="L18" s="50">
        <v>2031</v>
      </c>
      <c r="M18" s="50">
        <v>2032</v>
      </c>
      <c r="N18" s="50">
        <v>2033</v>
      </c>
      <c r="O18" s="50">
        <v>2034</v>
      </c>
    </row>
    <row r="19" spans="2:16" ht="16">
      <c r="B19" s="51" t="s">
        <v>105</v>
      </c>
      <c r="C19" s="61"/>
      <c r="D19" s="61">
        <f>Supuestos!F76</f>
        <v>0</v>
      </c>
      <c r="E19" s="61">
        <f>Supuestos!G76</f>
        <v>0</v>
      </c>
      <c r="F19" s="61">
        <f>Supuestos!H76</f>
        <v>0</v>
      </c>
      <c r="G19" s="61">
        <f>Supuestos!I76</f>
        <v>0</v>
      </c>
      <c r="H19" s="61">
        <f>Supuestos!J76</f>
        <v>0</v>
      </c>
      <c r="I19" s="61">
        <f>Supuestos!K76</f>
        <v>0</v>
      </c>
      <c r="J19" s="61">
        <f>Supuestos!L76</f>
        <v>0</v>
      </c>
      <c r="K19" s="61">
        <f>Supuestos!M76</f>
        <v>0</v>
      </c>
      <c r="L19" s="61">
        <f>Supuestos!N76</f>
        <v>0</v>
      </c>
      <c r="M19" s="61">
        <f>Supuestos!O76</f>
        <v>0</v>
      </c>
      <c r="N19" s="61">
        <f>Supuestos!P76</f>
        <v>0</v>
      </c>
      <c r="O19" s="61">
        <f>Supuestos!Q76</f>
        <v>0</v>
      </c>
      <c r="P19" s="63"/>
    </row>
    <row r="20" spans="2:16" ht="16">
      <c r="B20" s="51" t="s">
        <v>90</v>
      </c>
      <c r="C20" s="56"/>
      <c r="D20" s="56">
        <f>Supuestos!F77</f>
        <v>5</v>
      </c>
      <c r="E20" s="56">
        <f>Supuestos!G77</f>
        <v>5</v>
      </c>
      <c r="F20" s="56">
        <f>Supuestos!H77</f>
        <v>5</v>
      </c>
      <c r="G20" s="56">
        <f>Supuestos!I77</f>
        <v>5</v>
      </c>
      <c r="H20" s="56">
        <f>Supuestos!J77</f>
        <v>5</v>
      </c>
      <c r="I20" s="56">
        <f>Supuestos!K77</f>
        <v>5</v>
      </c>
      <c r="J20" s="56">
        <f>Supuestos!L77</f>
        <v>5</v>
      </c>
      <c r="K20" s="56">
        <f>Supuestos!M77</f>
        <v>5</v>
      </c>
      <c r="L20" s="56">
        <f>Supuestos!N77</f>
        <v>5</v>
      </c>
      <c r="M20" s="56">
        <f>Supuestos!O77</f>
        <v>5</v>
      </c>
      <c r="N20" s="56">
        <f>Supuestos!P77</f>
        <v>5</v>
      </c>
      <c r="O20" s="56">
        <f>Supuestos!Q77</f>
        <v>5</v>
      </c>
    </row>
    <row r="21" spans="2:16" ht="16">
      <c r="B21" s="51" t="s">
        <v>79</v>
      </c>
      <c r="C21" s="56"/>
      <c r="D21" s="56">
        <f t="shared" ref="D21:N21" si="15">D18+D20</f>
        <v>2028</v>
      </c>
      <c r="E21" s="56">
        <f t="shared" si="15"/>
        <v>2029</v>
      </c>
      <c r="F21" s="56">
        <f t="shared" si="15"/>
        <v>2030</v>
      </c>
      <c r="G21" s="56">
        <f t="shared" si="15"/>
        <v>2031</v>
      </c>
      <c r="H21" s="56">
        <f t="shared" si="15"/>
        <v>2032</v>
      </c>
      <c r="I21" s="56">
        <f t="shared" si="15"/>
        <v>2033</v>
      </c>
      <c r="J21" s="56">
        <f t="shared" si="15"/>
        <v>2034</v>
      </c>
      <c r="K21" s="56">
        <f t="shared" si="15"/>
        <v>2035</v>
      </c>
      <c r="L21" s="56">
        <f t="shared" si="15"/>
        <v>2036</v>
      </c>
      <c r="M21" s="56">
        <f t="shared" si="15"/>
        <v>2037</v>
      </c>
      <c r="N21" s="56">
        <f t="shared" si="15"/>
        <v>2038</v>
      </c>
      <c r="O21" s="56">
        <f t="shared" ref="O21" si="16">O18+O20</f>
        <v>2039</v>
      </c>
    </row>
    <row r="22" spans="2:16" ht="16">
      <c r="B22" s="51" t="s">
        <v>107</v>
      </c>
      <c r="C22" s="54"/>
      <c r="D22" s="54">
        <f>Supuestos!F71</f>
        <v>0</v>
      </c>
      <c r="E22" s="54">
        <f>Supuestos!G71</f>
        <v>0</v>
      </c>
      <c r="F22" s="54">
        <f>Supuestos!H71</f>
        <v>0</v>
      </c>
      <c r="G22" s="54">
        <f>Supuestos!I71</f>
        <v>0</v>
      </c>
      <c r="H22" s="54">
        <f>Supuestos!J71</f>
        <v>0</v>
      </c>
      <c r="I22" s="54">
        <f>Supuestos!K71</f>
        <v>0</v>
      </c>
      <c r="J22" s="54">
        <f>Supuestos!L71</f>
        <v>0</v>
      </c>
      <c r="K22" s="54">
        <f>Supuestos!M71</f>
        <v>0</v>
      </c>
      <c r="L22" s="54">
        <f>Supuestos!N71</f>
        <v>0</v>
      </c>
      <c r="M22" s="54">
        <f>Supuestos!O71</f>
        <v>0</v>
      </c>
      <c r="N22" s="54">
        <f>Supuestos!P71</f>
        <v>0</v>
      </c>
      <c r="O22" s="54">
        <f>Supuestos!Q71</f>
        <v>0</v>
      </c>
    </row>
    <row r="23" spans="2:16" ht="16">
      <c r="B23" s="51" t="s">
        <v>303</v>
      </c>
      <c r="C23" s="52"/>
      <c r="D23" s="52">
        <f t="shared" ref="D23:N23" si="17">D$4*D22</f>
        <v>0</v>
      </c>
      <c r="E23" s="52" t="e">
        <f t="shared" si="17"/>
        <v>#DIV/0!</v>
      </c>
      <c r="F23" s="52" t="e">
        <f t="shared" si="17"/>
        <v>#DIV/0!</v>
      </c>
      <c r="G23" s="52" t="e">
        <f t="shared" si="17"/>
        <v>#DIV/0!</v>
      </c>
      <c r="H23" s="52" t="e">
        <f t="shared" si="17"/>
        <v>#DIV/0!</v>
      </c>
      <c r="I23" s="52" t="e">
        <f t="shared" si="17"/>
        <v>#DIV/0!</v>
      </c>
      <c r="J23" s="52" t="e">
        <f t="shared" si="17"/>
        <v>#DIV/0!</v>
      </c>
      <c r="K23" s="52" t="e">
        <f t="shared" si="17"/>
        <v>#DIV/0!</v>
      </c>
      <c r="L23" s="52" t="e">
        <f t="shared" si="17"/>
        <v>#DIV/0!</v>
      </c>
      <c r="M23" s="52" t="e">
        <f t="shared" si="17"/>
        <v>#DIV/0!</v>
      </c>
      <c r="N23" s="52" t="e">
        <f t="shared" si="17"/>
        <v>#DIV/0!</v>
      </c>
      <c r="O23" s="52" t="e">
        <f t="shared" ref="O23" si="18">O$4*O22</f>
        <v>#DIV/0!</v>
      </c>
    </row>
    <row r="24" spans="2:16" ht="16">
      <c r="B24" s="51" t="s">
        <v>173</v>
      </c>
      <c r="C24" s="52"/>
      <c r="D24" s="52">
        <f>D5*D22</f>
        <v>0</v>
      </c>
      <c r="E24" s="52">
        <f>E5*E22</f>
        <v>0</v>
      </c>
      <c r="F24" s="52">
        <f>F5*F22</f>
        <v>0</v>
      </c>
      <c r="G24" s="52">
        <f>'Deuda a emitir'!E$35*G22</f>
        <v>0</v>
      </c>
      <c r="H24" s="52">
        <f>'Deuda a emitir'!F$35*H22</f>
        <v>0</v>
      </c>
      <c r="I24" s="52">
        <f>'Deuda a emitir'!G$35*I22</f>
        <v>0</v>
      </c>
      <c r="J24" s="52">
        <f>'Deuda a emitir'!H$35*J22</f>
        <v>0</v>
      </c>
      <c r="K24" s="52">
        <f>'Deuda a emitir'!I$35*K22</f>
        <v>0</v>
      </c>
      <c r="L24" s="52">
        <f>'Deuda a emitir'!J$35*L22</f>
        <v>0</v>
      </c>
      <c r="M24" s="52">
        <f>'Deuda a emitir'!K$35*M22</f>
        <v>0</v>
      </c>
      <c r="N24" s="52">
        <f>'Deuda a emitir'!L$35*N22</f>
        <v>0</v>
      </c>
      <c r="O24" s="52">
        <f>'Deuda a emitir'!M$35*O22</f>
        <v>0</v>
      </c>
    </row>
    <row r="25" spans="2:16" ht="16">
      <c r="B25" s="58" t="s">
        <v>110</v>
      </c>
      <c r="C25" s="60"/>
      <c r="D25" s="60">
        <f t="shared" ref="D25:N25" si="19">SUM(D23:D24)</f>
        <v>0</v>
      </c>
      <c r="E25" s="60" t="e">
        <f>SUM(E23:E24)</f>
        <v>#DIV/0!</v>
      </c>
      <c r="F25" s="60" t="e">
        <f t="shared" si="19"/>
        <v>#DIV/0!</v>
      </c>
      <c r="G25" s="60" t="e">
        <f t="shared" si="19"/>
        <v>#DIV/0!</v>
      </c>
      <c r="H25" s="60" t="e">
        <f t="shared" si="19"/>
        <v>#DIV/0!</v>
      </c>
      <c r="I25" s="60" t="e">
        <f t="shared" si="19"/>
        <v>#DIV/0!</v>
      </c>
      <c r="J25" s="60" t="e">
        <f t="shared" si="19"/>
        <v>#DIV/0!</v>
      </c>
      <c r="K25" s="60" t="e">
        <f t="shared" si="19"/>
        <v>#DIV/0!</v>
      </c>
      <c r="L25" s="60" t="e">
        <f t="shared" si="19"/>
        <v>#DIV/0!</v>
      </c>
      <c r="M25" s="60" t="e">
        <f t="shared" si="19"/>
        <v>#DIV/0!</v>
      </c>
      <c r="N25" s="60" t="e">
        <f t="shared" si="19"/>
        <v>#DIV/0!</v>
      </c>
      <c r="O25" s="60" t="e">
        <f t="shared" ref="O25" si="20">SUM(O23:O24)</f>
        <v>#DIV/0!</v>
      </c>
    </row>
    <row r="26" spans="2:16" ht="16">
      <c r="B26" s="396" t="s">
        <v>111</v>
      </c>
      <c r="C26" s="52"/>
      <c r="D26" s="448" t="e">
        <f t="shared" ref="D26:N26" si="21">D25/D$3</f>
        <v>#DIV/0!</v>
      </c>
      <c r="E26" s="448" t="e">
        <f t="shared" si="21"/>
        <v>#DIV/0!</v>
      </c>
      <c r="F26" s="448" t="e">
        <f t="shared" si="21"/>
        <v>#DIV/0!</v>
      </c>
      <c r="G26" s="448" t="e">
        <f t="shared" si="21"/>
        <v>#DIV/0!</v>
      </c>
      <c r="H26" s="448" t="e">
        <f t="shared" si="21"/>
        <v>#DIV/0!</v>
      </c>
      <c r="I26" s="448" t="e">
        <f t="shared" si="21"/>
        <v>#DIV/0!</v>
      </c>
      <c r="J26" s="448" t="e">
        <f t="shared" si="21"/>
        <v>#DIV/0!</v>
      </c>
      <c r="K26" s="448" t="e">
        <f t="shared" si="21"/>
        <v>#DIV/0!</v>
      </c>
      <c r="L26" s="448" t="e">
        <f t="shared" si="21"/>
        <v>#DIV/0!</v>
      </c>
      <c r="M26" s="448" t="e">
        <f t="shared" si="21"/>
        <v>#DIV/0!</v>
      </c>
      <c r="N26" s="448" t="e">
        <f t="shared" si="21"/>
        <v>#DIV/0!</v>
      </c>
      <c r="O26" s="448" t="e">
        <f t="shared" ref="O26" si="22">O25/O$3</f>
        <v>#DIV/0!</v>
      </c>
    </row>
    <row r="27" spans="2:16" ht="16">
      <c r="B27" s="58" t="s">
        <v>120</v>
      </c>
      <c r="C27" s="60"/>
      <c r="D27" s="60" t="e">
        <f t="shared" ref="D27:O27" si="23">D26*HLOOKUP((D18+D20),$C2:$AZ3,2,FALSE)</f>
        <v>#DIV/0!</v>
      </c>
      <c r="E27" s="60" t="e">
        <f t="shared" si="23"/>
        <v>#DIV/0!</v>
      </c>
      <c r="F27" s="60" t="e">
        <f t="shared" si="23"/>
        <v>#DIV/0!</v>
      </c>
      <c r="G27" s="60" t="e">
        <f t="shared" si="23"/>
        <v>#DIV/0!</v>
      </c>
      <c r="H27" s="60" t="e">
        <f t="shared" si="23"/>
        <v>#DIV/0!</v>
      </c>
      <c r="I27" s="60" t="e">
        <f t="shared" si="23"/>
        <v>#DIV/0!</v>
      </c>
      <c r="J27" s="60" t="e">
        <f t="shared" si="23"/>
        <v>#DIV/0!</v>
      </c>
      <c r="K27" s="60" t="e">
        <f t="shared" si="23"/>
        <v>#DIV/0!</v>
      </c>
      <c r="L27" s="60" t="e">
        <f t="shared" si="23"/>
        <v>#DIV/0!</v>
      </c>
      <c r="M27" s="60" t="e">
        <f t="shared" si="23"/>
        <v>#DIV/0!</v>
      </c>
      <c r="N27" s="60" t="e">
        <f t="shared" si="23"/>
        <v>#DIV/0!</v>
      </c>
      <c r="O27" s="60" t="e">
        <f t="shared" si="23"/>
        <v>#DIV/0!</v>
      </c>
    </row>
    <row r="28" spans="2:16">
      <c r="C28" s="52"/>
      <c r="D28" s="52"/>
      <c r="E28" s="52"/>
      <c r="F28" s="52"/>
      <c r="G28" s="52"/>
      <c r="H28" s="52"/>
      <c r="I28" s="52"/>
      <c r="J28" s="52"/>
      <c r="K28" s="52"/>
      <c r="L28" s="52"/>
      <c r="M28" s="52"/>
      <c r="N28" s="52"/>
      <c r="O28" s="52"/>
    </row>
    <row r="29" spans="2:16">
      <c r="B29" s="51">
        <v>0</v>
      </c>
      <c r="C29" s="52"/>
      <c r="D29" s="52"/>
      <c r="E29" s="52"/>
      <c r="F29" s="52"/>
      <c r="G29" s="52"/>
      <c r="H29" s="52"/>
      <c r="I29" s="52"/>
      <c r="J29" s="52"/>
      <c r="K29" s="52"/>
      <c r="L29" s="52"/>
      <c r="M29" s="52"/>
      <c r="N29" s="52"/>
      <c r="O29" s="52"/>
    </row>
    <row r="30" spans="2:16">
      <c r="B30" s="51">
        <v>1</v>
      </c>
      <c r="C30" s="52"/>
      <c r="D30" s="52" t="e">
        <f t="shared" ref="D30:O34" si="24">-D$26*D$19*HLOOKUP((D$18+$B30),$C$2:$AZ$3,2,FALSE)</f>
        <v>#DIV/0!</v>
      </c>
      <c r="E30" s="52" t="e">
        <f t="shared" si="24"/>
        <v>#DIV/0!</v>
      </c>
      <c r="F30" s="52" t="e">
        <f t="shared" si="24"/>
        <v>#DIV/0!</v>
      </c>
      <c r="G30" s="52" t="e">
        <f t="shared" si="24"/>
        <v>#DIV/0!</v>
      </c>
      <c r="H30" s="52" t="e">
        <f t="shared" si="24"/>
        <v>#DIV/0!</v>
      </c>
      <c r="I30" s="52" t="e">
        <f t="shared" si="24"/>
        <v>#DIV/0!</v>
      </c>
      <c r="J30" s="52" t="e">
        <f t="shared" si="24"/>
        <v>#DIV/0!</v>
      </c>
      <c r="K30" s="52" t="e">
        <f t="shared" si="24"/>
        <v>#DIV/0!</v>
      </c>
      <c r="L30" s="52" t="e">
        <f t="shared" si="24"/>
        <v>#DIV/0!</v>
      </c>
      <c r="M30" s="52" t="e">
        <f t="shared" si="24"/>
        <v>#DIV/0!</v>
      </c>
      <c r="N30" s="52" t="e">
        <f t="shared" si="24"/>
        <v>#DIV/0!</v>
      </c>
      <c r="O30" s="52" t="e">
        <f t="shared" si="24"/>
        <v>#DIV/0!</v>
      </c>
    </row>
    <row r="31" spans="2:16">
      <c r="B31" s="51">
        <v>2</v>
      </c>
      <c r="C31" s="52"/>
      <c r="D31" s="52" t="e">
        <f t="shared" si="24"/>
        <v>#DIV/0!</v>
      </c>
      <c r="E31" s="52" t="e">
        <f t="shared" si="24"/>
        <v>#DIV/0!</v>
      </c>
      <c r="F31" s="52" t="e">
        <f t="shared" si="24"/>
        <v>#DIV/0!</v>
      </c>
      <c r="G31" s="52" t="e">
        <f t="shared" si="24"/>
        <v>#DIV/0!</v>
      </c>
      <c r="H31" s="52" t="e">
        <f t="shared" si="24"/>
        <v>#DIV/0!</v>
      </c>
      <c r="I31" s="52" t="e">
        <f t="shared" si="24"/>
        <v>#DIV/0!</v>
      </c>
      <c r="J31" s="52" t="e">
        <f t="shared" si="24"/>
        <v>#DIV/0!</v>
      </c>
      <c r="K31" s="52" t="e">
        <f t="shared" si="24"/>
        <v>#DIV/0!</v>
      </c>
      <c r="L31" s="52" t="e">
        <f t="shared" si="24"/>
        <v>#DIV/0!</v>
      </c>
      <c r="M31" s="52" t="e">
        <f t="shared" si="24"/>
        <v>#DIV/0!</v>
      </c>
      <c r="N31" s="52" t="e">
        <f t="shared" si="24"/>
        <v>#DIV/0!</v>
      </c>
      <c r="O31" s="52" t="e">
        <f t="shared" si="24"/>
        <v>#DIV/0!</v>
      </c>
    </row>
    <row r="32" spans="2:16">
      <c r="B32" s="51">
        <v>3</v>
      </c>
      <c r="C32" s="52"/>
      <c r="D32" s="52" t="e">
        <f t="shared" si="24"/>
        <v>#DIV/0!</v>
      </c>
      <c r="E32" s="52" t="e">
        <f t="shared" si="24"/>
        <v>#DIV/0!</v>
      </c>
      <c r="F32" s="52" t="e">
        <f t="shared" si="24"/>
        <v>#DIV/0!</v>
      </c>
      <c r="G32" s="52" t="e">
        <f t="shared" si="24"/>
        <v>#DIV/0!</v>
      </c>
      <c r="H32" s="52" t="e">
        <f t="shared" si="24"/>
        <v>#DIV/0!</v>
      </c>
      <c r="I32" s="52" t="e">
        <f t="shared" si="24"/>
        <v>#DIV/0!</v>
      </c>
      <c r="J32" s="52" t="e">
        <f t="shared" si="24"/>
        <v>#DIV/0!</v>
      </c>
      <c r="K32" s="52" t="e">
        <f t="shared" si="24"/>
        <v>#DIV/0!</v>
      </c>
      <c r="L32" s="52" t="e">
        <f t="shared" si="24"/>
        <v>#DIV/0!</v>
      </c>
      <c r="M32" s="52" t="e">
        <f t="shared" si="24"/>
        <v>#DIV/0!</v>
      </c>
      <c r="N32" s="52" t="e">
        <f t="shared" si="24"/>
        <v>#DIV/0!</v>
      </c>
      <c r="O32" s="52" t="e">
        <f t="shared" si="24"/>
        <v>#DIV/0!</v>
      </c>
    </row>
    <row r="33" spans="1:18">
      <c r="B33" s="51">
        <v>4</v>
      </c>
      <c r="C33" s="52"/>
      <c r="D33" s="52" t="e">
        <f t="shared" si="24"/>
        <v>#DIV/0!</v>
      </c>
      <c r="E33" s="52" t="e">
        <f t="shared" si="24"/>
        <v>#DIV/0!</v>
      </c>
      <c r="F33" s="52" t="e">
        <f t="shared" si="24"/>
        <v>#DIV/0!</v>
      </c>
      <c r="G33" s="52" t="e">
        <f t="shared" si="24"/>
        <v>#DIV/0!</v>
      </c>
      <c r="H33" s="52" t="e">
        <f t="shared" si="24"/>
        <v>#DIV/0!</v>
      </c>
      <c r="I33" s="52" t="e">
        <f t="shared" si="24"/>
        <v>#DIV/0!</v>
      </c>
      <c r="J33" s="52" t="e">
        <f t="shared" si="24"/>
        <v>#DIV/0!</v>
      </c>
      <c r="K33" s="52" t="e">
        <f t="shared" si="24"/>
        <v>#DIV/0!</v>
      </c>
      <c r="L33" s="52" t="e">
        <f t="shared" si="24"/>
        <v>#DIV/0!</v>
      </c>
      <c r="M33" s="52" t="e">
        <f t="shared" si="24"/>
        <v>#DIV/0!</v>
      </c>
      <c r="N33" s="52" t="e">
        <f t="shared" si="24"/>
        <v>#DIV/0!</v>
      </c>
      <c r="O33" s="52" t="e">
        <f t="shared" si="24"/>
        <v>#DIV/0!</v>
      </c>
    </row>
    <row r="34" spans="1:18">
      <c r="B34" s="51">
        <v>5</v>
      </c>
      <c r="C34" s="52"/>
      <c r="D34" s="52" t="e">
        <f t="shared" si="24"/>
        <v>#DIV/0!</v>
      </c>
      <c r="E34" s="52" t="e">
        <f t="shared" si="24"/>
        <v>#DIV/0!</v>
      </c>
      <c r="F34" s="52" t="e">
        <f t="shared" si="24"/>
        <v>#DIV/0!</v>
      </c>
      <c r="G34" s="52" t="e">
        <f t="shared" si="24"/>
        <v>#DIV/0!</v>
      </c>
      <c r="H34" s="52" t="e">
        <f t="shared" si="24"/>
        <v>#DIV/0!</v>
      </c>
      <c r="I34" s="52" t="e">
        <f t="shared" si="24"/>
        <v>#DIV/0!</v>
      </c>
      <c r="J34" s="52" t="e">
        <f t="shared" si="24"/>
        <v>#DIV/0!</v>
      </c>
      <c r="K34" s="52" t="e">
        <f t="shared" si="24"/>
        <v>#DIV/0!</v>
      </c>
      <c r="L34" s="52" t="e">
        <f t="shared" si="24"/>
        <v>#DIV/0!</v>
      </c>
      <c r="M34" s="52" t="e">
        <f t="shared" si="24"/>
        <v>#DIV/0!</v>
      </c>
      <c r="N34" s="52" t="e">
        <f t="shared" si="24"/>
        <v>#DIV/0!</v>
      </c>
      <c r="O34" s="52" t="e">
        <f t="shared" si="24"/>
        <v>#DIV/0!</v>
      </c>
    </row>
    <row r="35" spans="1:18">
      <c r="C35" s="52"/>
      <c r="D35" s="52"/>
      <c r="E35" s="52"/>
      <c r="F35" s="52"/>
      <c r="G35" s="52"/>
      <c r="H35" s="52"/>
      <c r="I35" s="52"/>
      <c r="J35" s="52"/>
      <c r="K35" s="52"/>
      <c r="L35" s="52"/>
      <c r="M35" s="52"/>
      <c r="N35" s="52"/>
      <c r="O35" s="52"/>
    </row>
    <row r="36" spans="1:18" ht="16">
      <c r="B36" s="51" t="s">
        <v>113</v>
      </c>
      <c r="C36" s="52"/>
      <c r="D36" s="52">
        <f>C30</f>
        <v>0</v>
      </c>
      <c r="E36" s="52" t="e">
        <f>D30+C31</f>
        <v>#DIV/0!</v>
      </c>
      <c r="F36" s="52" t="e">
        <f>E30+D31+C32</f>
        <v>#DIV/0!</v>
      </c>
      <c r="G36" s="52" t="e">
        <f>F30+E31+D32+C33</f>
        <v>#DIV/0!</v>
      </c>
      <c r="H36" s="52" t="e">
        <f>G30+F31+E32+D33+C34</f>
        <v>#DIV/0!</v>
      </c>
      <c r="I36" s="52" t="e">
        <f t="shared" ref="I36:O36" si="25">H30+G31+F32+E33+D34</f>
        <v>#DIV/0!</v>
      </c>
      <c r="J36" s="52" t="e">
        <f t="shared" si="25"/>
        <v>#DIV/0!</v>
      </c>
      <c r="K36" s="52" t="e">
        <f t="shared" si="25"/>
        <v>#DIV/0!</v>
      </c>
      <c r="L36" s="52" t="e">
        <f t="shared" si="25"/>
        <v>#DIV/0!</v>
      </c>
      <c r="M36" s="52" t="e">
        <f t="shared" si="25"/>
        <v>#DIV/0!</v>
      </c>
      <c r="N36" s="52" t="e">
        <f t="shared" si="25"/>
        <v>#DIV/0!</v>
      </c>
      <c r="O36" s="52" t="e">
        <f t="shared" si="25"/>
        <v>#DIV/0!</v>
      </c>
      <c r="P36" s="52"/>
      <c r="Q36" s="52"/>
      <c r="R36" s="52"/>
    </row>
    <row r="37" spans="1:18" ht="16">
      <c r="B37" s="51" t="s">
        <v>114</v>
      </c>
      <c r="C37" s="52"/>
      <c r="D37" s="52"/>
      <c r="E37" s="52"/>
      <c r="F37" s="52"/>
      <c r="G37" s="52"/>
      <c r="H37" s="52"/>
      <c r="I37" s="52"/>
      <c r="J37" s="52"/>
      <c r="K37" s="52"/>
      <c r="L37" s="52"/>
      <c r="M37" s="52"/>
      <c r="N37" s="52"/>
      <c r="O37" s="52"/>
      <c r="P37" s="52"/>
      <c r="Q37" s="52"/>
      <c r="R37" s="52"/>
    </row>
    <row r="39" spans="1:18">
      <c r="B39" s="49">
        <v>10</v>
      </c>
      <c r="C39" s="50"/>
      <c r="D39" s="50">
        <v>2023</v>
      </c>
      <c r="E39" s="50">
        <v>2024</v>
      </c>
      <c r="F39" s="50">
        <v>2025</v>
      </c>
      <c r="G39" s="50">
        <v>2026</v>
      </c>
      <c r="H39" s="50">
        <v>2027</v>
      </c>
      <c r="I39" s="50">
        <v>2028</v>
      </c>
      <c r="J39" s="50">
        <v>2029</v>
      </c>
      <c r="K39" s="50">
        <v>2030</v>
      </c>
      <c r="L39" s="50">
        <v>2031</v>
      </c>
      <c r="M39" s="50">
        <v>2032</v>
      </c>
      <c r="N39" s="50">
        <v>2033</v>
      </c>
      <c r="O39" s="50">
        <v>2034</v>
      </c>
    </row>
    <row r="40" spans="1:18" ht="16">
      <c r="B40" s="51" t="s">
        <v>105</v>
      </c>
      <c r="C40" s="54"/>
      <c r="D40" s="54">
        <f>Supuestos!F79</f>
        <v>0</v>
      </c>
      <c r="E40" s="54">
        <f>Supuestos!G79</f>
        <v>0</v>
      </c>
      <c r="F40" s="54">
        <f>Supuestos!H79</f>
        <v>0</v>
      </c>
      <c r="G40" s="54">
        <f>Supuestos!I79</f>
        <v>0</v>
      </c>
      <c r="H40" s="54">
        <f>Supuestos!J79</f>
        <v>0</v>
      </c>
      <c r="I40" s="54">
        <f>Supuestos!K79</f>
        <v>0</v>
      </c>
      <c r="J40" s="54">
        <f>Supuestos!L79</f>
        <v>0</v>
      </c>
      <c r="K40" s="54">
        <f>Supuestos!M79</f>
        <v>0</v>
      </c>
      <c r="L40" s="54">
        <f>Supuestos!N79</f>
        <v>0</v>
      </c>
      <c r="M40" s="54">
        <f>Supuestos!O79</f>
        <v>0</v>
      </c>
      <c r="N40" s="54">
        <f>Supuestos!P79</f>
        <v>0</v>
      </c>
      <c r="O40" s="54">
        <f>Supuestos!Q79</f>
        <v>0</v>
      </c>
    </row>
    <row r="41" spans="1:18" ht="16">
      <c r="B41" s="51" t="s">
        <v>90</v>
      </c>
      <c r="C41" s="56"/>
      <c r="D41" s="56">
        <f>Supuestos!F80</f>
        <v>10</v>
      </c>
      <c r="E41" s="56">
        <f>Supuestos!G80</f>
        <v>10</v>
      </c>
      <c r="F41" s="56">
        <f>Supuestos!H80</f>
        <v>10</v>
      </c>
      <c r="G41" s="56">
        <f>Supuestos!I80</f>
        <v>10</v>
      </c>
      <c r="H41" s="56">
        <f>Supuestos!J80</f>
        <v>10</v>
      </c>
      <c r="I41" s="56">
        <f>Supuestos!K80</f>
        <v>10</v>
      </c>
      <c r="J41" s="56">
        <f>Supuestos!L80</f>
        <v>10</v>
      </c>
      <c r="K41" s="56">
        <f>Supuestos!M80</f>
        <v>10</v>
      </c>
      <c r="L41" s="56">
        <f>Supuestos!N80</f>
        <v>10</v>
      </c>
      <c r="M41" s="56">
        <f>Supuestos!O80</f>
        <v>10</v>
      </c>
      <c r="N41" s="56">
        <f>Supuestos!P80</f>
        <v>10</v>
      </c>
      <c r="O41" s="56">
        <f>Supuestos!Q80</f>
        <v>10</v>
      </c>
    </row>
    <row r="42" spans="1:18" ht="16">
      <c r="B42" s="51" t="s">
        <v>79</v>
      </c>
      <c r="C42" s="56"/>
      <c r="D42" s="56">
        <f t="shared" ref="D42:N42" si="26">D39+D41</f>
        <v>2033</v>
      </c>
      <c r="E42" s="56">
        <f t="shared" si="26"/>
        <v>2034</v>
      </c>
      <c r="F42" s="56">
        <f t="shared" si="26"/>
        <v>2035</v>
      </c>
      <c r="G42" s="56">
        <f t="shared" si="26"/>
        <v>2036</v>
      </c>
      <c r="H42" s="56">
        <f t="shared" si="26"/>
        <v>2037</v>
      </c>
      <c r="I42" s="56">
        <f t="shared" si="26"/>
        <v>2038</v>
      </c>
      <c r="J42" s="56">
        <f t="shared" si="26"/>
        <v>2039</v>
      </c>
      <c r="K42" s="56">
        <f t="shared" si="26"/>
        <v>2040</v>
      </c>
      <c r="L42" s="56">
        <f t="shared" si="26"/>
        <v>2041</v>
      </c>
      <c r="M42" s="56">
        <f t="shared" si="26"/>
        <v>2042</v>
      </c>
      <c r="N42" s="56">
        <f t="shared" si="26"/>
        <v>2043</v>
      </c>
      <c r="O42" s="56">
        <f t="shared" ref="O42" si="27">O39+O41</f>
        <v>2044</v>
      </c>
    </row>
    <row r="43" spans="1:18" ht="16">
      <c r="B43" s="51" t="s">
        <v>107</v>
      </c>
      <c r="C43" s="54"/>
      <c r="D43" s="54">
        <f>Supuestos!F72</f>
        <v>0</v>
      </c>
      <c r="E43" s="54">
        <f>Supuestos!G72</f>
        <v>0</v>
      </c>
      <c r="F43" s="54">
        <f>Supuestos!H72</f>
        <v>0</v>
      </c>
      <c r="G43" s="54">
        <f>Supuestos!I72</f>
        <v>0</v>
      </c>
      <c r="H43" s="54">
        <f>Supuestos!J72</f>
        <v>0</v>
      </c>
      <c r="I43" s="54">
        <f>Supuestos!K72</f>
        <v>0</v>
      </c>
      <c r="J43" s="54">
        <f>Supuestos!L72</f>
        <v>0</v>
      </c>
      <c r="K43" s="54">
        <f>Supuestos!M72</f>
        <v>0</v>
      </c>
      <c r="L43" s="54">
        <f>Supuestos!N72</f>
        <v>0</v>
      </c>
      <c r="M43" s="54">
        <f>Supuestos!O72</f>
        <v>0</v>
      </c>
      <c r="N43" s="54">
        <f>Supuestos!P72</f>
        <v>0</v>
      </c>
      <c r="O43" s="54">
        <f>Supuestos!Q72</f>
        <v>0</v>
      </c>
    </row>
    <row r="44" spans="1:18" ht="16">
      <c r="B44" s="51" t="s">
        <v>303</v>
      </c>
      <c r="C44" s="52"/>
      <c r="D44" s="52">
        <f t="shared" ref="D44:N44" si="28">D$4*D43</f>
        <v>0</v>
      </c>
      <c r="E44" s="52" t="e">
        <f t="shared" si="28"/>
        <v>#DIV/0!</v>
      </c>
      <c r="F44" s="52" t="e">
        <f t="shared" si="28"/>
        <v>#DIV/0!</v>
      </c>
      <c r="G44" s="52" t="e">
        <f t="shared" si="28"/>
        <v>#DIV/0!</v>
      </c>
      <c r="H44" s="52" t="e">
        <f t="shared" si="28"/>
        <v>#DIV/0!</v>
      </c>
      <c r="I44" s="52" t="e">
        <f t="shared" si="28"/>
        <v>#DIV/0!</v>
      </c>
      <c r="J44" s="52" t="e">
        <f t="shared" si="28"/>
        <v>#DIV/0!</v>
      </c>
      <c r="K44" s="52" t="e">
        <f t="shared" si="28"/>
        <v>#DIV/0!</v>
      </c>
      <c r="L44" s="52" t="e">
        <f t="shared" si="28"/>
        <v>#DIV/0!</v>
      </c>
      <c r="M44" s="52" t="e">
        <f t="shared" si="28"/>
        <v>#DIV/0!</v>
      </c>
      <c r="N44" s="52" t="e">
        <f t="shared" si="28"/>
        <v>#DIV/0!</v>
      </c>
      <c r="O44" s="52" t="e">
        <f t="shared" ref="O44" si="29">O$4*O43</f>
        <v>#DIV/0!</v>
      </c>
    </row>
    <row r="45" spans="1:18" ht="16">
      <c r="B45" s="51" t="s">
        <v>173</v>
      </c>
      <c r="C45" s="52"/>
      <c r="D45" s="52">
        <f t="shared" ref="D45:N45" si="30">D$5*D43</f>
        <v>0</v>
      </c>
      <c r="E45" s="52">
        <f t="shared" si="30"/>
        <v>0</v>
      </c>
      <c r="F45" s="52">
        <f t="shared" si="30"/>
        <v>0</v>
      </c>
      <c r="G45" s="52">
        <f t="shared" si="30"/>
        <v>0</v>
      </c>
      <c r="H45" s="52">
        <f t="shared" si="30"/>
        <v>0</v>
      </c>
      <c r="I45" s="52">
        <f t="shared" si="30"/>
        <v>0</v>
      </c>
      <c r="J45" s="52">
        <f t="shared" si="30"/>
        <v>0</v>
      </c>
      <c r="K45" s="52">
        <f t="shared" si="30"/>
        <v>0</v>
      </c>
      <c r="L45" s="52">
        <f t="shared" si="30"/>
        <v>0</v>
      </c>
      <c r="M45" s="52">
        <f t="shared" si="30"/>
        <v>0</v>
      </c>
      <c r="N45" s="52">
        <f t="shared" si="30"/>
        <v>0</v>
      </c>
      <c r="O45" s="52">
        <f t="shared" ref="O45" si="31">O$5*O43</f>
        <v>0</v>
      </c>
    </row>
    <row r="46" spans="1:18" ht="16">
      <c r="A46" s="35"/>
      <c r="B46" s="58" t="s">
        <v>110</v>
      </c>
      <c r="C46" s="60"/>
      <c r="D46" s="60">
        <f t="shared" ref="D46:N46" si="32">SUM(D44:D45)</f>
        <v>0</v>
      </c>
      <c r="E46" s="60" t="e">
        <f t="shared" si="32"/>
        <v>#DIV/0!</v>
      </c>
      <c r="F46" s="60" t="e">
        <f t="shared" si="32"/>
        <v>#DIV/0!</v>
      </c>
      <c r="G46" s="60" t="e">
        <f t="shared" si="32"/>
        <v>#DIV/0!</v>
      </c>
      <c r="H46" s="60" t="e">
        <f t="shared" si="32"/>
        <v>#DIV/0!</v>
      </c>
      <c r="I46" s="60" t="e">
        <f t="shared" si="32"/>
        <v>#DIV/0!</v>
      </c>
      <c r="J46" s="60" t="e">
        <f t="shared" si="32"/>
        <v>#DIV/0!</v>
      </c>
      <c r="K46" s="60" t="e">
        <f t="shared" si="32"/>
        <v>#DIV/0!</v>
      </c>
      <c r="L46" s="60" t="e">
        <f t="shared" si="32"/>
        <v>#DIV/0!</v>
      </c>
      <c r="M46" s="60" t="e">
        <f t="shared" si="32"/>
        <v>#DIV/0!</v>
      </c>
      <c r="N46" s="60" t="e">
        <f t="shared" si="32"/>
        <v>#DIV/0!</v>
      </c>
      <c r="O46" s="60" t="e">
        <f t="shared" ref="O46" si="33">SUM(O44:O45)</f>
        <v>#DIV/0!</v>
      </c>
    </row>
    <row r="47" spans="1:18" ht="16">
      <c r="B47" s="396" t="s">
        <v>111</v>
      </c>
      <c r="C47" s="52"/>
      <c r="D47" s="448" t="e">
        <f t="shared" ref="D47:N47" si="34">D46/D$3</f>
        <v>#DIV/0!</v>
      </c>
      <c r="E47" s="448" t="e">
        <f t="shared" si="34"/>
        <v>#DIV/0!</v>
      </c>
      <c r="F47" s="448" t="e">
        <f t="shared" si="34"/>
        <v>#DIV/0!</v>
      </c>
      <c r="G47" s="448" t="e">
        <f t="shared" si="34"/>
        <v>#DIV/0!</v>
      </c>
      <c r="H47" s="448" t="e">
        <f t="shared" si="34"/>
        <v>#DIV/0!</v>
      </c>
      <c r="I47" s="448" t="e">
        <f t="shared" si="34"/>
        <v>#DIV/0!</v>
      </c>
      <c r="J47" s="448" t="e">
        <f t="shared" si="34"/>
        <v>#DIV/0!</v>
      </c>
      <c r="K47" s="448" t="e">
        <f t="shared" si="34"/>
        <v>#DIV/0!</v>
      </c>
      <c r="L47" s="448" t="e">
        <f t="shared" si="34"/>
        <v>#DIV/0!</v>
      </c>
      <c r="M47" s="448" t="e">
        <f t="shared" si="34"/>
        <v>#DIV/0!</v>
      </c>
      <c r="N47" s="448" t="e">
        <f t="shared" si="34"/>
        <v>#DIV/0!</v>
      </c>
      <c r="O47" s="448" t="e">
        <f t="shared" ref="O47" si="35">O46/O$3</f>
        <v>#DIV/0!</v>
      </c>
    </row>
    <row r="48" spans="1:18" ht="16">
      <c r="B48" s="58" t="s">
        <v>120</v>
      </c>
      <c r="C48" s="60"/>
      <c r="D48" s="60" t="e">
        <f t="shared" ref="D48:O48" si="36">D47*HLOOKUP(D42,$C2:$AZ3,2,FALSE)</f>
        <v>#DIV/0!</v>
      </c>
      <c r="E48" s="60" t="e">
        <f t="shared" si="36"/>
        <v>#DIV/0!</v>
      </c>
      <c r="F48" s="60" t="e">
        <f t="shared" si="36"/>
        <v>#DIV/0!</v>
      </c>
      <c r="G48" s="60" t="e">
        <f t="shared" si="36"/>
        <v>#DIV/0!</v>
      </c>
      <c r="H48" s="60" t="e">
        <f t="shared" si="36"/>
        <v>#DIV/0!</v>
      </c>
      <c r="I48" s="60" t="e">
        <f t="shared" si="36"/>
        <v>#DIV/0!</v>
      </c>
      <c r="J48" s="60" t="e">
        <f t="shared" si="36"/>
        <v>#DIV/0!</v>
      </c>
      <c r="K48" s="60" t="e">
        <f t="shared" si="36"/>
        <v>#DIV/0!</v>
      </c>
      <c r="L48" s="60" t="e">
        <f t="shared" si="36"/>
        <v>#DIV/0!</v>
      </c>
      <c r="M48" s="60" t="e">
        <f t="shared" si="36"/>
        <v>#DIV/0!</v>
      </c>
      <c r="N48" s="60" t="e">
        <f t="shared" si="36"/>
        <v>#DIV/0!</v>
      </c>
      <c r="O48" s="60" t="e">
        <f t="shared" si="36"/>
        <v>#DIV/0!</v>
      </c>
    </row>
    <row r="49" spans="2:18">
      <c r="C49" s="52"/>
      <c r="D49" s="52"/>
      <c r="E49" s="52"/>
      <c r="F49" s="52"/>
      <c r="G49" s="52"/>
      <c r="H49" s="52"/>
      <c r="I49" s="52"/>
      <c r="J49" s="52"/>
      <c r="K49" s="52"/>
      <c r="L49" s="52"/>
      <c r="M49" s="52"/>
      <c r="N49" s="52"/>
      <c r="O49" s="52"/>
    </row>
    <row r="50" spans="2:18">
      <c r="B50" s="51">
        <v>0</v>
      </c>
      <c r="C50" s="52"/>
      <c r="D50" s="52"/>
      <c r="E50" s="52"/>
      <c r="F50" s="52"/>
      <c r="G50" s="52"/>
      <c r="H50" s="52"/>
      <c r="I50" s="52"/>
      <c r="J50" s="52"/>
      <c r="K50" s="52"/>
      <c r="L50" s="52"/>
      <c r="M50" s="52"/>
      <c r="N50" s="52"/>
      <c r="O50" s="52"/>
    </row>
    <row r="51" spans="2:18">
      <c r="B51" s="51">
        <v>1</v>
      </c>
      <c r="C51" s="52"/>
      <c r="D51" s="52" t="e">
        <f t="shared" ref="D51:O60" si="37">-D$47*D$40*HLOOKUP((D$39+$B51),$C$2:$AZ$3,2,FALSE)</f>
        <v>#DIV/0!</v>
      </c>
      <c r="E51" s="52" t="e">
        <f t="shared" si="37"/>
        <v>#DIV/0!</v>
      </c>
      <c r="F51" s="52" t="e">
        <f t="shared" si="37"/>
        <v>#DIV/0!</v>
      </c>
      <c r="G51" s="52" t="e">
        <f t="shared" si="37"/>
        <v>#DIV/0!</v>
      </c>
      <c r="H51" s="52" t="e">
        <f t="shared" si="37"/>
        <v>#DIV/0!</v>
      </c>
      <c r="I51" s="52" t="e">
        <f t="shared" si="37"/>
        <v>#DIV/0!</v>
      </c>
      <c r="J51" s="52" t="e">
        <f t="shared" si="37"/>
        <v>#DIV/0!</v>
      </c>
      <c r="K51" s="52" t="e">
        <f t="shared" si="37"/>
        <v>#DIV/0!</v>
      </c>
      <c r="L51" s="52" t="e">
        <f t="shared" si="37"/>
        <v>#DIV/0!</v>
      </c>
      <c r="M51" s="52" t="e">
        <f t="shared" si="37"/>
        <v>#DIV/0!</v>
      </c>
      <c r="N51" s="52" t="e">
        <f t="shared" si="37"/>
        <v>#DIV/0!</v>
      </c>
      <c r="O51" s="52" t="e">
        <f t="shared" si="37"/>
        <v>#DIV/0!</v>
      </c>
    </row>
    <row r="52" spans="2:18">
      <c r="B52" s="51">
        <v>2</v>
      </c>
      <c r="C52" s="52"/>
      <c r="D52" s="52" t="e">
        <f t="shared" si="37"/>
        <v>#DIV/0!</v>
      </c>
      <c r="E52" s="52" t="e">
        <f t="shared" si="37"/>
        <v>#DIV/0!</v>
      </c>
      <c r="F52" s="52" t="e">
        <f t="shared" si="37"/>
        <v>#DIV/0!</v>
      </c>
      <c r="G52" s="52" t="e">
        <f t="shared" si="37"/>
        <v>#DIV/0!</v>
      </c>
      <c r="H52" s="52" t="e">
        <f t="shared" si="37"/>
        <v>#DIV/0!</v>
      </c>
      <c r="I52" s="52" t="e">
        <f t="shared" si="37"/>
        <v>#DIV/0!</v>
      </c>
      <c r="J52" s="52" t="e">
        <f t="shared" si="37"/>
        <v>#DIV/0!</v>
      </c>
      <c r="K52" s="52" t="e">
        <f t="shared" si="37"/>
        <v>#DIV/0!</v>
      </c>
      <c r="L52" s="52" t="e">
        <f t="shared" si="37"/>
        <v>#DIV/0!</v>
      </c>
      <c r="M52" s="52" t="e">
        <f t="shared" si="37"/>
        <v>#DIV/0!</v>
      </c>
      <c r="N52" s="52" t="e">
        <f t="shared" si="37"/>
        <v>#DIV/0!</v>
      </c>
      <c r="O52" s="52" t="e">
        <f t="shared" si="37"/>
        <v>#DIV/0!</v>
      </c>
    </row>
    <row r="53" spans="2:18">
      <c r="B53" s="51">
        <v>3</v>
      </c>
      <c r="C53" s="52"/>
      <c r="D53" s="52" t="e">
        <f t="shared" si="37"/>
        <v>#DIV/0!</v>
      </c>
      <c r="E53" s="52" t="e">
        <f t="shared" si="37"/>
        <v>#DIV/0!</v>
      </c>
      <c r="F53" s="52" t="e">
        <f t="shared" si="37"/>
        <v>#DIV/0!</v>
      </c>
      <c r="G53" s="52" t="e">
        <f t="shared" si="37"/>
        <v>#DIV/0!</v>
      </c>
      <c r="H53" s="52" t="e">
        <f t="shared" si="37"/>
        <v>#DIV/0!</v>
      </c>
      <c r="I53" s="52" t="e">
        <f t="shared" si="37"/>
        <v>#DIV/0!</v>
      </c>
      <c r="J53" s="52" t="e">
        <f t="shared" si="37"/>
        <v>#DIV/0!</v>
      </c>
      <c r="K53" s="52" t="e">
        <f t="shared" si="37"/>
        <v>#DIV/0!</v>
      </c>
      <c r="L53" s="52" t="e">
        <f t="shared" si="37"/>
        <v>#DIV/0!</v>
      </c>
      <c r="M53" s="52" t="e">
        <f t="shared" si="37"/>
        <v>#DIV/0!</v>
      </c>
      <c r="N53" s="52" t="e">
        <f t="shared" si="37"/>
        <v>#DIV/0!</v>
      </c>
      <c r="O53" s="52" t="e">
        <f t="shared" si="37"/>
        <v>#DIV/0!</v>
      </c>
    </row>
    <row r="54" spans="2:18">
      <c r="B54" s="51">
        <v>4</v>
      </c>
      <c r="C54" s="52"/>
      <c r="D54" s="52" t="e">
        <f t="shared" si="37"/>
        <v>#DIV/0!</v>
      </c>
      <c r="E54" s="52" t="e">
        <f t="shared" si="37"/>
        <v>#DIV/0!</v>
      </c>
      <c r="F54" s="52" t="e">
        <f t="shared" si="37"/>
        <v>#DIV/0!</v>
      </c>
      <c r="G54" s="52" t="e">
        <f t="shared" si="37"/>
        <v>#DIV/0!</v>
      </c>
      <c r="H54" s="52" t="e">
        <f t="shared" si="37"/>
        <v>#DIV/0!</v>
      </c>
      <c r="I54" s="52" t="e">
        <f t="shared" si="37"/>
        <v>#DIV/0!</v>
      </c>
      <c r="J54" s="52" t="e">
        <f t="shared" si="37"/>
        <v>#DIV/0!</v>
      </c>
      <c r="K54" s="52" t="e">
        <f t="shared" si="37"/>
        <v>#DIV/0!</v>
      </c>
      <c r="L54" s="52" t="e">
        <f t="shared" si="37"/>
        <v>#DIV/0!</v>
      </c>
      <c r="M54" s="52" t="e">
        <f t="shared" si="37"/>
        <v>#DIV/0!</v>
      </c>
      <c r="N54" s="52" t="e">
        <f t="shared" si="37"/>
        <v>#DIV/0!</v>
      </c>
      <c r="O54" s="52" t="e">
        <f t="shared" si="37"/>
        <v>#DIV/0!</v>
      </c>
    </row>
    <row r="55" spans="2:18">
      <c r="B55" s="51">
        <v>5</v>
      </c>
      <c r="C55" s="52"/>
      <c r="D55" s="52" t="e">
        <f t="shared" si="37"/>
        <v>#DIV/0!</v>
      </c>
      <c r="E55" s="52" t="e">
        <f t="shared" si="37"/>
        <v>#DIV/0!</v>
      </c>
      <c r="F55" s="52" t="e">
        <f t="shared" si="37"/>
        <v>#DIV/0!</v>
      </c>
      <c r="G55" s="52" t="e">
        <f t="shared" si="37"/>
        <v>#DIV/0!</v>
      </c>
      <c r="H55" s="52" t="e">
        <f t="shared" si="37"/>
        <v>#DIV/0!</v>
      </c>
      <c r="I55" s="52" t="e">
        <f t="shared" si="37"/>
        <v>#DIV/0!</v>
      </c>
      <c r="J55" s="52" t="e">
        <f t="shared" si="37"/>
        <v>#DIV/0!</v>
      </c>
      <c r="K55" s="52" t="e">
        <f t="shared" si="37"/>
        <v>#DIV/0!</v>
      </c>
      <c r="L55" s="52" t="e">
        <f t="shared" si="37"/>
        <v>#DIV/0!</v>
      </c>
      <c r="M55" s="52" t="e">
        <f t="shared" si="37"/>
        <v>#DIV/0!</v>
      </c>
      <c r="N55" s="52" t="e">
        <f t="shared" si="37"/>
        <v>#DIV/0!</v>
      </c>
      <c r="O55" s="52" t="e">
        <f t="shared" si="37"/>
        <v>#DIV/0!</v>
      </c>
    </row>
    <row r="56" spans="2:18">
      <c r="B56" s="51">
        <v>6</v>
      </c>
      <c r="C56" s="52"/>
      <c r="D56" s="52" t="e">
        <f t="shared" si="37"/>
        <v>#DIV/0!</v>
      </c>
      <c r="E56" s="52" t="e">
        <f t="shared" si="37"/>
        <v>#DIV/0!</v>
      </c>
      <c r="F56" s="52" t="e">
        <f t="shared" si="37"/>
        <v>#DIV/0!</v>
      </c>
      <c r="G56" s="52" t="e">
        <f t="shared" si="37"/>
        <v>#DIV/0!</v>
      </c>
      <c r="H56" s="52" t="e">
        <f t="shared" si="37"/>
        <v>#DIV/0!</v>
      </c>
      <c r="I56" s="52" t="e">
        <f t="shared" si="37"/>
        <v>#DIV/0!</v>
      </c>
      <c r="J56" s="52" t="e">
        <f t="shared" si="37"/>
        <v>#DIV/0!</v>
      </c>
      <c r="K56" s="52" t="e">
        <f t="shared" si="37"/>
        <v>#DIV/0!</v>
      </c>
      <c r="L56" s="52" t="e">
        <f t="shared" si="37"/>
        <v>#DIV/0!</v>
      </c>
      <c r="M56" s="52" t="e">
        <f t="shared" si="37"/>
        <v>#DIV/0!</v>
      </c>
      <c r="N56" s="52" t="e">
        <f t="shared" si="37"/>
        <v>#DIV/0!</v>
      </c>
      <c r="O56" s="52" t="e">
        <f t="shared" si="37"/>
        <v>#DIV/0!</v>
      </c>
    </row>
    <row r="57" spans="2:18">
      <c r="B57" s="51">
        <v>7</v>
      </c>
      <c r="C57" s="52"/>
      <c r="D57" s="52" t="e">
        <f t="shared" si="37"/>
        <v>#DIV/0!</v>
      </c>
      <c r="E57" s="52" t="e">
        <f t="shared" si="37"/>
        <v>#DIV/0!</v>
      </c>
      <c r="F57" s="52" t="e">
        <f t="shared" si="37"/>
        <v>#DIV/0!</v>
      </c>
      <c r="G57" s="52" t="e">
        <f t="shared" si="37"/>
        <v>#DIV/0!</v>
      </c>
      <c r="H57" s="52" t="e">
        <f t="shared" si="37"/>
        <v>#DIV/0!</v>
      </c>
      <c r="I57" s="52" t="e">
        <f t="shared" si="37"/>
        <v>#DIV/0!</v>
      </c>
      <c r="J57" s="52" t="e">
        <f t="shared" si="37"/>
        <v>#DIV/0!</v>
      </c>
      <c r="K57" s="52" t="e">
        <f t="shared" si="37"/>
        <v>#DIV/0!</v>
      </c>
      <c r="L57" s="52" t="e">
        <f t="shared" si="37"/>
        <v>#DIV/0!</v>
      </c>
      <c r="M57" s="52" t="e">
        <f t="shared" si="37"/>
        <v>#DIV/0!</v>
      </c>
      <c r="N57" s="52" t="e">
        <f t="shared" si="37"/>
        <v>#DIV/0!</v>
      </c>
      <c r="O57" s="52" t="e">
        <f t="shared" si="37"/>
        <v>#DIV/0!</v>
      </c>
    </row>
    <row r="58" spans="2:18">
      <c r="B58" s="51">
        <v>8</v>
      </c>
      <c r="C58" s="52"/>
      <c r="D58" s="52" t="e">
        <f t="shared" si="37"/>
        <v>#DIV/0!</v>
      </c>
      <c r="E58" s="52" t="e">
        <f t="shared" si="37"/>
        <v>#DIV/0!</v>
      </c>
      <c r="F58" s="52" t="e">
        <f t="shared" si="37"/>
        <v>#DIV/0!</v>
      </c>
      <c r="G58" s="52" t="e">
        <f t="shared" si="37"/>
        <v>#DIV/0!</v>
      </c>
      <c r="H58" s="52" t="e">
        <f t="shared" si="37"/>
        <v>#DIV/0!</v>
      </c>
      <c r="I58" s="52" t="e">
        <f t="shared" si="37"/>
        <v>#DIV/0!</v>
      </c>
      <c r="J58" s="52" t="e">
        <f t="shared" si="37"/>
        <v>#DIV/0!</v>
      </c>
      <c r="K58" s="52" t="e">
        <f t="shared" si="37"/>
        <v>#DIV/0!</v>
      </c>
      <c r="L58" s="52" t="e">
        <f t="shared" si="37"/>
        <v>#DIV/0!</v>
      </c>
      <c r="M58" s="52" t="e">
        <f t="shared" si="37"/>
        <v>#DIV/0!</v>
      </c>
      <c r="N58" s="52" t="e">
        <f t="shared" si="37"/>
        <v>#DIV/0!</v>
      </c>
      <c r="O58" s="52" t="e">
        <f t="shared" si="37"/>
        <v>#DIV/0!</v>
      </c>
    </row>
    <row r="59" spans="2:18">
      <c r="B59" s="51">
        <v>9</v>
      </c>
      <c r="C59" s="52"/>
      <c r="D59" s="52" t="e">
        <f t="shared" si="37"/>
        <v>#DIV/0!</v>
      </c>
      <c r="E59" s="52" t="e">
        <f t="shared" si="37"/>
        <v>#DIV/0!</v>
      </c>
      <c r="F59" s="52" t="e">
        <f t="shared" si="37"/>
        <v>#DIV/0!</v>
      </c>
      <c r="G59" s="52" t="e">
        <f t="shared" si="37"/>
        <v>#DIV/0!</v>
      </c>
      <c r="H59" s="52" t="e">
        <f t="shared" si="37"/>
        <v>#DIV/0!</v>
      </c>
      <c r="I59" s="52" t="e">
        <f t="shared" si="37"/>
        <v>#DIV/0!</v>
      </c>
      <c r="J59" s="52" t="e">
        <f t="shared" si="37"/>
        <v>#DIV/0!</v>
      </c>
      <c r="K59" s="52" t="e">
        <f t="shared" si="37"/>
        <v>#DIV/0!</v>
      </c>
      <c r="L59" s="52" t="e">
        <f t="shared" si="37"/>
        <v>#DIV/0!</v>
      </c>
      <c r="M59" s="52" t="e">
        <f t="shared" si="37"/>
        <v>#DIV/0!</v>
      </c>
      <c r="N59" s="52" t="e">
        <f t="shared" si="37"/>
        <v>#DIV/0!</v>
      </c>
      <c r="O59" s="52" t="e">
        <f t="shared" si="37"/>
        <v>#DIV/0!</v>
      </c>
    </row>
    <row r="60" spans="2:18">
      <c r="B60" s="51">
        <v>10</v>
      </c>
      <c r="C60" s="52"/>
      <c r="D60" s="52" t="e">
        <f t="shared" si="37"/>
        <v>#DIV/0!</v>
      </c>
      <c r="E60" s="52" t="e">
        <f t="shared" si="37"/>
        <v>#DIV/0!</v>
      </c>
      <c r="F60" s="52" t="e">
        <f t="shared" si="37"/>
        <v>#DIV/0!</v>
      </c>
      <c r="G60" s="52" t="e">
        <f t="shared" si="37"/>
        <v>#DIV/0!</v>
      </c>
      <c r="H60" s="52" t="e">
        <f t="shared" si="37"/>
        <v>#DIV/0!</v>
      </c>
      <c r="I60" s="52" t="e">
        <f t="shared" si="37"/>
        <v>#DIV/0!</v>
      </c>
      <c r="J60" s="52" t="e">
        <f t="shared" si="37"/>
        <v>#DIV/0!</v>
      </c>
      <c r="K60" s="52" t="e">
        <f t="shared" si="37"/>
        <v>#DIV/0!</v>
      </c>
      <c r="L60" s="52" t="e">
        <f t="shared" si="37"/>
        <v>#DIV/0!</v>
      </c>
      <c r="M60" s="52" t="e">
        <f t="shared" si="37"/>
        <v>#DIV/0!</v>
      </c>
      <c r="N60" s="52" t="e">
        <f t="shared" si="37"/>
        <v>#DIV/0!</v>
      </c>
      <c r="O60" s="52" t="e">
        <f t="shared" si="37"/>
        <v>#DIV/0!</v>
      </c>
    </row>
    <row r="61" spans="2:18">
      <c r="C61" s="52"/>
      <c r="D61" s="52"/>
      <c r="E61" s="52"/>
      <c r="F61" s="52"/>
      <c r="G61" s="52"/>
      <c r="H61" s="52"/>
      <c r="I61" s="52"/>
      <c r="J61" s="52"/>
      <c r="K61" s="52"/>
      <c r="L61" s="52"/>
      <c r="M61" s="52"/>
      <c r="N61" s="52"/>
      <c r="O61" s="52"/>
    </row>
    <row r="62" spans="2:18" ht="16">
      <c r="B62" s="51" t="s">
        <v>113</v>
      </c>
      <c r="C62" s="52"/>
      <c r="D62" s="52">
        <f>C51</f>
        <v>0</v>
      </c>
      <c r="E62" s="52" t="e">
        <f>D51+C52</f>
        <v>#DIV/0!</v>
      </c>
      <c r="F62" s="52" t="e">
        <f>E51+D52+C53</f>
        <v>#DIV/0!</v>
      </c>
      <c r="G62" s="52" t="e">
        <f>F51+E52+D53+C54</f>
        <v>#DIV/0!</v>
      </c>
      <c r="H62" s="52" t="e">
        <f>G51+F52+E53+D54+C55</f>
        <v>#DIV/0!</v>
      </c>
      <c r="I62" s="52" t="e">
        <f>H51+G52+F53+E54+D55+C56</f>
        <v>#DIV/0!</v>
      </c>
      <c r="J62" s="52" t="e">
        <f>I51+H52+G53+F54+E55+D56+C57</f>
        <v>#DIV/0!</v>
      </c>
      <c r="K62" s="52" t="e">
        <f>J51+I52+H53+G54+F55+E56+D57+C58</f>
        <v>#DIV/0!</v>
      </c>
      <c r="L62" s="52" t="e">
        <f>K51+J52+I53+H54+G55+F56+E57+D58+C59</f>
        <v>#DIV/0!</v>
      </c>
      <c r="M62" s="52" t="e">
        <f>L51+K52+J53+I54+H55+G56+F57+E58+D59+C60</f>
        <v>#DIV/0!</v>
      </c>
      <c r="N62" s="52" t="e">
        <f>M51+L52+K53+J54+I55+H56+G57+F58+E59+D60</f>
        <v>#DIV/0!</v>
      </c>
      <c r="O62" s="52" t="e">
        <f>N51+M52+L53+K54+J55+I56+H57+G58+F59+E60</f>
        <v>#DIV/0!</v>
      </c>
      <c r="P62" s="52"/>
      <c r="Q62" s="52"/>
      <c r="R62" s="52"/>
    </row>
    <row r="63" spans="2:18" ht="16">
      <c r="B63" s="51" t="s">
        <v>114</v>
      </c>
      <c r="C63" s="52"/>
      <c r="D63" s="52"/>
      <c r="E63" s="52"/>
      <c r="F63" s="52"/>
      <c r="G63" s="52"/>
      <c r="H63" s="52"/>
      <c r="I63" s="52"/>
      <c r="J63" s="52"/>
      <c r="K63" s="52"/>
      <c r="L63" s="52"/>
      <c r="M63" s="52"/>
      <c r="N63" s="52"/>
      <c r="O63" s="52"/>
      <c r="P63" s="52"/>
      <c r="Q63" s="52"/>
      <c r="R63" s="52"/>
    </row>
    <row r="64" spans="2:18" s="63" customFormat="1">
      <c r="B64" s="80"/>
      <c r="C64" s="57"/>
      <c r="D64" s="57"/>
      <c r="E64" s="57"/>
      <c r="F64" s="57"/>
      <c r="G64" s="57"/>
      <c r="H64" s="57"/>
      <c r="I64" s="57"/>
      <c r="J64" s="57"/>
      <c r="K64" s="57"/>
      <c r="L64" s="57"/>
      <c r="M64" s="57"/>
      <c r="N64" s="57"/>
      <c r="O64" s="57"/>
      <c r="P64" s="57"/>
      <c r="Q64" s="57"/>
      <c r="R64" s="57"/>
    </row>
    <row r="65" spans="2:18">
      <c r="B65" s="49">
        <v>20</v>
      </c>
      <c r="C65" s="50"/>
      <c r="D65" s="50">
        <v>2023</v>
      </c>
      <c r="E65" s="50">
        <v>2024</v>
      </c>
      <c r="F65" s="50">
        <v>2025</v>
      </c>
      <c r="G65" s="50">
        <v>2026</v>
      </c>
      <c r="H65" s="50">
        <v>2027</v>
      </c>
      <c r="I65" s="50">
        <v>2028</v>
      </c>
      <c r="J65" s="50">
        <v>2029</v>
      </c>
      <c r="K65" s="50">
        <v>2030</v>
      </c>
      <c r="L65" s="50">
        <v>2031</v>
      </c>
      <c r="M65" s="50">
        <v>2032</v>
      </c>
      <c r="N65" s="50">
        <v>2033</v>
      </c>
      <c r="O65" s="50">
        <v>2034</v>
      </c>
      <c r="P65" s="52"/>
      <c r="Q65" s="52"/>
      <c r="R65" s="52"/>
    </row>
    <row r="66" spans="2:18" ht="16">
      <c r="B66" s="51" t="s">
        <v>105</v>
      </c>
      <c r="C66" s="54"/>
      <c r="D66" s="54">
        <f>Supuestos!F82</f>
        <v>0</v>
      </c>
      <c r="E66" s="54">
        <f>Supuestos!G82</f>
        <v>0</v>
      </c>
      <c r="F66" s="54">
        <f>Supuestos!H82</f>
        <v>0</v>
      </c>
      <c r="G66" s="54">
        <f>Supuestos!I82</f>
        <v>0</v>
      </c>
      <c r="H66" s="54">
        <f>Supuestos!J82</f>
        <v>0</v>
      </c>
      <c r="I66" s="54">
        <f>Supuestos!K82</f>
        <v>0</v>
      </c>
      <c r="J66" s="54">
        <f>Supuestos!L82</f>
        <v>0</v>
      </c>
      <c r="K66" s="54">
        <f>Supuestos!M82</f>
        <v>0</v>
      </c>
      <c r="L66" s="54">
        <f>Supuestos!N82</f>
        <v>0</v>
      </c>
      <c r="M66" s="54">
        <f>Supuestos!O82</f>
        <v>0</v>
      </c>
      <c r="N66" s="54">
        <f>Supuestos!P82</f>
        <v>0</v>
      </c>
      <c r="O66" s="54">
        <f>Supuestos!Q82</f>
        <v>0</v>
      </c>
      <c r="P66" s="52"/>
      <c r="Q66" s="52"/>
      <c r="R66" s="52"/>
    </row>
    <row r="67" spans="2:18" ht="16">
      <c r="B67" s="51" t="s">
        <v>90</v>
      </c>
      <c r="C67" s="55"/>
      <c r="D67" s="55">
        <f>Supuestos!F83</f>
        <v>20</v>
      </c>
      <c r="E67" s="55">
        <f>Supuestos!G83</f>
        <v>20</v>
      </c>
      <c r="F67" s="55">
        <f>Supuestos!H83</f>
        <v>20</v>
      </c>
      <c r="G67" s="55">
        <f>Supuestos!I83</f>
        <v>20</v>
      </c>
      <c r="H67" s="55">
        <f>Supuestos!J83</f>
        <v>20</v>
      </c>
      <c r="I67" s="55">
        <f>Supuestos!K83</f>
        <v>20</v>
      </c>
      <c r="J67" s="55">
        <f>Supuestos!L83</f>
        <v>20</v>
      </c>
      <c r="K67" s="55">
        <f>Supuestos!M83</f>
        <v>20</v>
      </c>
      <c r="L67" s="55">
        <f>Supuestos!N83</f>
        <v>20</v>
      </c>
      <c r="M67" s="55">
        <f>Supuestos!O83</f>
        <v>20</v>
      </c>
      <c r="N67" s="55">
        <f>Supuestos!P83</f>
        <v>20</v>
      </c>
      <c r="O67" s="55">
        <f>Supuestos!Q83</f>
        <v>20</v>
      </c>
      <c r="P67" s="52"/>
      <c r="Q67" s="52"/>
      <c r="R67" s="52"/>
    </row>
    <row r="68" spans="2:18" ht="16">
      <c r="B68" s="51" t="s">
        <v>79</v>
      </c>
      <c r="C68" s="56"/>
      <c r="D68" s="56">
        <f t="shared" ref="D68:N68" si="38">D65+D67</f>
        <v>2043</v>
      </c>
      <c r="E68" s="56">
        <f t="shared" si="38"/>
        <v>2044</v>
      </c>
      <c r="F68" s="56">
        <f t="shared" si="38"/>
        <v>2045</v>
      </c>
      <c r="G68" s="56">
        <f t="shared" si="38"/>
        <v>2046</v>
      </c>
      <c r="H68" s="56">
        <f t="shared" si="38"/>
        <v>2047</v>
      </c>
      <c r="I68" s="56">
        <f t="shared" si="38"/>
        <v>2048</v>
      </c>
      <c r="J68" s="56">
        <f t="shared" si="38"/>
        <v>2049</v>
      </c>
      <c r="K68" s="56">
        <f t="shared" si="38"/>
        <v>2050</v>
      </c>
      <c r="L68" s="56">
        <f t="shared" si="38"/>
        <v>2051</v>
      </c>
      <c r="M68" s="56">
        <f t="shared" si="38"/>
        <v>2052</v>
      </c>
      <c r="N68" s="56">
        <f t="shared" si="38"/>
        <v>2053</v>
      </c>
      <c r="O68" s="56">
        <f t="shared" ref="O68" si="39">O65+O67</f>
        <v>2054</v>
      </c>
      <c r="P68" s="56"/>
      <c r="Q68" s="56"/>
      <c r="R68" s="56"/>
    </row>
    <row r="69" spans="2:18" ht="16">
      <c r="B69" s="51" t="s">
        <v>107</v>
      </c>
      <c r="C69" s="54"/>
      <c r="D69" s="54">
        <f>Supuestos!F73</f>
        <v>0</v>
      </c>
      <c r="E69" s="54">
        <f>Supuestos!G73</f>
        <v>0</v>
      </c>
      <c r="F69" s="54">
        <f>Supuestos!H73</f>
        <v>0</v>
      </c>
      <c r="G69" s="54">
        <f>Supuestos!I73</f>
        <v>0</v>
      </c>
      <c r="H69" s="54">
        <f>Supuestos!J73</f>
        <v>0</v>
      </c>
      <c r="I69" s="54">
        <f>Supuestos!K73</f>
        <v>0</v>
      </c>
      <c r="J69" s="54">
        <f>Supuestos!L73</f>
        <v>0</v>
      </c>
      <c r="K69" s="54">
        <f>Supuestos!M73</f>
        <v>0</v>
      </c>
      <c r="L69" s="54">
        <f>Supuestos!N73</f>
        <v>0</v>
      </c>
      <c r="M69" s="54">
        <f>Supuestos!O73</f>
        <v>0</v>
      </c>
      <c r="N69" s="54">
        <f>Supuestos!P73</f>
        <v>0</v>
      </c>
      <c r="O69" s="54">
        <f>Supuestos!Q73</f>
        <v>0</v>
      </c>
      <c r="P69" s="52"/>
      <c r="Q69" s="52"/>
      <c r="R69" s="52"/>
    </row>
    <row r="70" spans="2:18" ht="16">
      <c r="B70" s="51" t="s">
        <v>303</v>
      </c>
      <c r="C70" s="52"/>
      <c r="D70" s="52">
        <f t="shared" ref="D70:N70" si="40">D$4*D69</f>
        <v>0</v>
      </c>
      <c r="E70" s="52" t="e">
        <f t="shared" si="40"/>
        <v>#DIV/0!</v>
      </c>
      <c r="F70" s="52" t="e">
        <f t="shared" si="40"/>
        <v>#DIV/0!</v>
      </c>
      <c r="G70" s="52" t="e">
        <f t="shared" si="40"/>
        <v>#DIV/0!</v>
      </c>
      <c r="H70" s="52" t="e">
        <f t="shared" si="40"/>
        <v>#DIV/0!</v>
      </c>
      <c r="I70" s="52" t="e">
        <f t="shared" si="40"/>
        <v>#DIV/0!</v>
      </c>
      <c r="J70" s="52" t="e">
        <f t="shared" si="40"/>
        <v>#DIV/0!</v>
      </c>
      <c r="K70" s="52" t="e">
        <f t="shared" si="40"/>
        <v>#DIV/0!</v>
      </c>
      <c r="L70" s="52" t="e">
        <f t="shared" si="40"/>
        <v>#DIV/0!</v>
      </c>
      <c r="M70" s="52" t="e">
        <f t="shared" si="40"/>
        <v>#DIV/0!</v>
      </c>
      <c r="N70" s="52" t="e">
        <f t="shared" si="40"/>
        <v>#DIV/0!</v>
      </c>
      <c r="O70" s="52" t="e">
        <f t="shared" ref="O70" si="41">O$4*O69</f>
        <v>#DIV/0!</v>
      </c>
      <c r="P70" s="52"/>
      <c r="Q70" s="52"/>
      <c r="R70" s="52"/>
    </row>
    <row r="71" spans="2:18" ht="16">
      <c r="B71" s="51" t="s">
        <v>173</v>
      </c>
      <c r="C71" s="52"/>
      <c r="D71" s="52">
        <f t="shared" ref="D71:N71" si="42">D$5*D69</f>
        <v>0</v>
      </c>
      <c r="E71" s="52">
        <f t="shared" si="42"/>
        <v>0</v>
      </c>
      <c r="F71" s="52">
        <f t="shared" si="42"/>
        <v>0</v>
      </c>
      <c r="G71" s="52">
        <f t="shared" si="42"/>
        <v>0</v>
      </c>
      <c r="H71" s="52">
        <f t="shared" si="42"/>
        <v>0</v>
      </c>
      <c r="I71" s="52">
        <f t="shared" si="42"/>
        <v>0</v>
      </c>
      <c r="J71" s="52">
        <f t="shared" si="42"/>
        <v>0</v>
      </c>
      <c r="K71" s="52">
        <f t="shared" si="42"/>
        <v>0</v>
      </c>
      <c r="L71" s="52">
        <f t="shared" si="42"/>
        <v>0</v>
      </c>
      <c r="M71" s="52">
        <f t="shared" si="42"/>
        <v>0</v>
      </c>
      <c r="N71" s="52">
        <f t="shared" si="42"/>
        <v>0</v>
      </c>
      <c r="O71" s="52">
        <f t="shared" ref="O71" si="43">O$5*O69</f>
        <v>0</v>
      </c>
      <c r="P71" s="52"/>
      <c r="Q71" s="52"/>
      <c r="R71" s="52"/>
    </row>
    <row r="72" spans="2:18" s="35" customFormat="1" ht="16">
      <c r="B72" s="58" t="s">
        <v>110</v>
      </c>
      <c r="C72" s="60"/>
      <c r="D72" s="60">
        <f t="shared" ref="D72:N72" si="44">SUM(D70:D71)</f>
        <v>0</v>
      </c>
      <c r="E72" s="60" t="e">
        <f t="shared" si="44"/>
        <v>#DIV/0!</v>
      </c>
      <c r="F72" s="60" t="e">
        <f t="shared" si="44"/>
        <v>#DIV/0!</v>
      </c>
      <c r="G72" s="60" t="e">
        <f t="shared" si="44"/>
        <v>#DIV/0!</v>
      </c>
      <c r="H72" s="60" t="e">
        <f t="shared" si="44"/>
        <v>#DIV/0!</v>
      </c>
      <c r="I72" s="60" t="e">
        <f t="shared" si="44"/>
        <v>#DIV/0!</v>
      </c>
      <c r="J72" s="60" t="e">
        <f t="shared" si="44"/>
        <v>#DIV/0!</v>
      </c>
      <c r="K72" s="60" t="e">
        <f t="shared" si="44"/>
        <v>#DIV/0!</v>
      </c>
      <c r="L72" s="60" t="e">
        <f t="shared" si="44"/>
        <v>#DIV/0!</v>
      </c>
      <c r="M72" s="60" t="e">
        <f t="shared" si="44"/>
        <v>#DIV/0!</v>
      </c>
      <c r="N72" s="60" t="e">
        <f t="shared" si="44"/>
        <v>#DIV/0!</v>
      </c>
      <c r="O72" s="60" t="e">
        <f t="shared" ref="O72" si="45">SUM(O70:O71)</f>
        <v>#DIV/0!</v>
      </c>
      <c r="P72" s="60"/>
      <c r="Q72" s="60"/>
      <c r="R72" s="60"/>
    </row>
    <row r="73" spans="2:18" ht="16">
      <c r="B73" s="396" t="s">
        <v>111</v>
      </c>
      <c r="C73" s="52"/>
      <c r="D73" s="448" t="e">
        <f t="shared" ref="D73:N73" si="46">(D72/D$3)</f>
        <v>#DIV/0!</v>
      </c>
      <c r="E73" s="448" t="e">
        <f t="shared" si="46"/>
        <v>#DIV/0!</v>
      </c>
      <c r="F73" s="448" t="e">
        <f t="shared" si="46"/>
        <v>#DIV/0!</v>
      </c>
      <c r="G73" s="448" t="e">
        <f t="shared" si="46"/>
        <v>#DIV/0!</v>
      </c>
      <c r="H73" s="448" t="e">
        <f t="shared" si="46"/>
        <v>#DIV/0!</v>
      </c>
      <c r="I73" s="448" t="e">
        <f t="shared" si="46"/>
        <v>#DIV/0!</v>
      </c>
      <c r="J73" s="448" t="e">
        <f t="shared" si="46"/>
        <v>#DIV/0!</v>
      </c>
      <c r="K73" s="448" t="e">
        <f t="shared" si="46"/>
        <v>#DIV/0!</v>
      </c>
      <c r="L73" s="448" t="e">
        <f t="shared" si="46"/>
        <v>#DIV/0!</v>
      </c>
      <c r="M73" s="448" t="e">
        <f t="shared" si="46"/>
        <v>#DIV/0!</v>
      </c>
      <c r="N73" s="448" t="e">
        <f t="shared" si="46"/>
        <v>#DIV/0!</v>
      </c>
      <c r="O73" s="448" t="e">
        <f t="shared" ref="O73" si="47">(O72/O$3)</f>
        <v>#DIV/0!</v>
      </c>
    </row>
    <row r="74" spans="2:18" ht="16">
      <c r="B74" s="58" t="s">
        <v>120</v>
      </c>
      <c r="C74" s="60"/>
      <c r="D74" s="60" t="e">
        <f t="shared" ref="D74:O74" si="48">D73*HLOOKUP(D68,$C2:$AZ3,2,FALSE)</f>
        <v>#DIV/0!</v>
      </c>
      <c r="E74" s="60" t="e">
        <f t="shared" si="48"/>
        <v>#DIV/0!</v>
      </c>
      <c r="F74" s="60" t="e">
        <f t="shared" si="48"/>
        <v>#DIV/0!</v>
      </c>
      <c r="G74" s="60" t="e">
        <f t="shared" si="48"/>
        <v>#DIV/0!</v>
      </c>
      <c r="H74" s="60" t="e">
        <f t="shared" si="48"/>
        <v>#DIV/0!</v>
      </c>
      <c r="I74" s="60" t="e">
        <f t="shared" si="48"/>
        <v>#DIV/0!</v>
      </c>
      <c r="J74" s="60" t="e">
        <f t="shared" si="48"/>
        <v>#DIV/0!</v>
      </c>
      <c r="K74" s="60" t="e">
        <f t="shared" si="48"/>
        <v>#DIV/0!</v>
      </c>
      <c r="L74" s="60" t="e">
        <f t="shared" si="48"/>
        <v>#DIV/0!</v>
      </c>
      <c r="M74" s="60" t="e">
        <f t="shared" si="48"/>
        <v>#DIV/0!</v>
      </c>
      <c r="N74" s="60" t="e">
        <f t="shared" si="48"/>
        <v>#DIV/0!</v>
      </c>
      <c r="O74" s="60" t="e">
        <f t="shared" si="48"/>
        <v>#DIV/0!</v>
      </c>
      <c r="P74" s="52"/>
      <c r="Q74" s="52"/>
      <c r="R74" s="52"/>
    </row>
    <row r="75" spans="2:18">
      <c r="C75" s="52"/>
      <c r="D75" s="52"/>
      <c r="E75" s="52"/>
      <c r="F75" s="52"/>
      <c r="G75" s="52"/>
      <c r="H75" s="52"/>
      <c r="I75" s="52"/>
      <c r="J75" s="52"/>
      <c r="K75" s="52"/>
      <c r="L75" s="52"/>
      <c r="M75" s="52"/>
      <c r="N75" s="52"/>
      <c r="O75" s="52"/>
      <c r="P75" s="52"/>
      <c r="Q75" s="52"/>
      <c r="R75" s="52"/>
    </row>
    <row r="76" spans="2:18">
      <c r="B76" s="51">
        <v>0</v>
      </c>
      <c r="C76" s="52"/>
      <c r="D76" s="52"/>
      <c r="E76" s="52"/>
      <c r="F76" s="52"/>
      <c r="G76" s="52"/>
      <c r="H76" s="52"/>
      <c r="I76" s="52"/>
      <c r="J76" s="52"/>
      <c r="K76" s="52"/>
      <c r="L76" s="52"/>
      <c r="M76" s="52"/>
      <c r="N76" s="52"/>
      <c r="O76" s="52"/>
      <c r="P76" s="52"/>
      <c r="Q76" s="52"/>
      <c r="R76" s="52"/>
    </row>
    <row r="77" spans="2:18">
      <c r="B77" s="51">
        <v>1</v>
      </c>
      <c r="C77" s="52"/>
      <c r="D77" s="52" t="e">
        <f t="shared" ref="D77:O86" si="49">-D$73*D$66*HLOOKUP((D$65+$B77),$C$2:$AZ$3,2,FALSE)</f>
        <v>#DIV/0!</v>
      </c>
      <c r="E77" s="52" t="e">
        <f t="shared" si="49"/>
        <v>#DIV/0!</v>
      </c>
      <c r="F77" s="52" t="e">
        <f t="shared" si="49"/>
        <v>#DIV/0!</v>
      </c>
      <c r="G77" s="52" t="e">
        <f t="shared" si="49"/>
        <v>#DIV/0!</v>
      </c>
      <c r="H77" s="52" t="e">
        <f t="shared" si="49"/>
        <v>#DIV/0!</v>
      </c>
      <c r="I77" s="52" t="e">
        <f t="shared" si="49"/>
        <v>#DIV/0!</v>
      </c>
      <c r="J77" s="52" t="e">
        <f t="shared" si="49"/>
        <v>#DIV/0!</v>
      </c>
      <c r="K77" s="52" t="e">
        <f t="shared" si="49"/>
        <v>#DIV/0!</v>
      </c>
      <c r="L77" s="52" t="e">
        <f t="shared" si="49"/>
        <v>#DIV/0!</v>
      </c>
      <c r="M77" s="52" t="e">
        <f t="shared" si="49"/>
        <v>#DIV/0!</v>
      </c>
      <c r="N77" s="52" t="e">
        <f t="shared" si="49"/>
        <v>#DIV/0!</v>
      </c>
      <c r="O77" s="52" t="e">
        <f t="shared" si="49"/>
        <v>#DIV/0!</v>
      </c>
      <c r="P77" s="52"/>
      <c r="Q77" s="52"/>
      <c r="R77" s="52"/>
    </row>
    <row r="78" spans="2:18">
      <c r="B78" s="51">
        <v>2</v>
      </c>
      <c r="C78" s="52"/>
      <c r="D78" s="52" t="e">
        <f t="shared" si="49"/>
        <v>#DIV/0!</v>
      </c>
      <c r="E78" s="52" t="e">
        <f t="shared" si="49"/>
        <v>#DIV/0!</v>
      </c>
      <c r="F78" s="52" t="e">
        <f t="shared" si="49"/>
        <v>#DIV/0!</v>
      </c>
      <c r="G78" s="52" t="e">
        <f t="shared" si="49"/>
        <v>#DIV/0!</v>
      </c>
      <c r="H78" s="52" t="e">
        <f t="shared" si="49"/>
        <v>#DIV/0!</v>
      </c>
      <c r="I78" s="52" t="e">
        <f t="shared" si="49"/>
        <v>#DIV/0!</v>
      </c>
      <c r="J78" s="52" t="e">
        <f t="shared" si="49"/>
        <v>#DIV/0!</v>
      </c>
      <c r="K78" s="52" t="e">
        <f t="shared" si="49"/>
        <v>#DIV/0!</v>
      </c>
      <c r="L78" s="52" t="e">
        <f t="shared" si="49"/>
        <v>#DIV/0!</v>
      </c>
      <c r="M78" s="52" t="e">
        <f t="shared" si="49"/>
        <v>#DIV/0!</v>
      </c>
      <c r="N78" s="52" t="e">
        <f t="shared" si="49"/>
        <v>#DIV/0!</v>
      </c>
      <c r="O78" s="52" t="e">
        <f t="shared" si="49"/>
        <v>#DIV/0!</v>
      </c>
      <c r="P78" s="52"/>
      <c r="Q78" s="52"/>
      <c r="R78" s="52"/>
    </row>
    <row r="79" spans="2:18">
      <c r="B79" s="51">
        <v>3</v>
      </c>
      <c r="C79" s="52"/>
      <c r="D79" s="52" t="e">
        <f t="shared" si="49"/>
        <v>#DIV/0!</v>
      </c>
      <c r="E79" s="52" t="e">
        <f t="shared" si="49"/>
        <v>#DIV/0!</v>
      </c>
      <c r="F79" s="52" t="e">
        <f t="shared" si="49"/>
        <v>#DIV/0!</v>
      </c>
      <c r="G79" s="52" t="e">
        <f t="shared" si="49"/>
        <v>#DIV/0!</v>
      </c>
      <c r="H79" s="52" t="e">
        <f t="shared" si="49"/>
        <v>#DIV/0!</v>
      </c>
      <c r="I79" s="52" t="e">
        <f t="shared" si="49"/>
        <v>#DIV/0!</v>
      </c>
      <c r="J79" s="52" t="e">
        <f t="shared" si="49"/>
        <v>#DIV/0!</v>
      </c>
      <c r="K79" s="52" t="e">
        <f t="shared" si="49"/>
        <v>#DIV/0!</v>
      </c>
      <c r="L79" s="52" t="e">
        <f t="shared" si="49"/>
        <v>#DIV/0!</v>
      </c>
      <c r="M79" s="52" t="e">
        <f t="shared" si="49"/>
        <v>#DIV/0!</v>
      </c>
      <c r="N79" s="52" t="e">
        <f t="shared" si="49"/>
        <v>#DIV/0!</v>
      </c>
      <c r="O79" s="52" t="e">
        <f t="shared" si="49"/>
        <v>#DIV/0!</v>
      </c>
      <c r="P79" s="52"/>
      <c r="Q79" s="52"/>
      <c r="R79" s="52"/>
    </row>
    <row r="80" spans="2:18">
      <c r="B80" s="51">
        <v>4</v>
      </c>
      <c r="C80" s="52"/>
      <c r="D80" s="52" t="e">
        <f t="shared" si="49"/>
        <v>#DIV/0!</v>
      </c>
      <c r="E80" s="52" t="e">
        <f t="shared" si="49"/>
        <v>#DIV/0!</v>
      </c>
      <c r="F80" s="52" t="e">
        <f t="shared" si="49"/>
        <v>#DIV/0!</v>
      </c>
      <c r="G80" s="52" t="e">
        <f t="shared" si="49"/>
        <v>#DIV/0!</v>
      </c>
      <c r="H80" s="52" t="e">
        <f t="shared" si="49"/>
        <v>#DIV/0!</v>
      </c>
      <c r="I80" s="52" t="e">
        <f t="shared" si="49"/>
        <v>#DIV/0!</v>
      </c>
      <c r="J80" s="52" t="e">
        <f t="shared" si="49"/>
        <v>#DIV/0!</v>
      </c>
      <c r="K80" s="52" t="e">
        <f t="shared" si="49"/>
        <v>#DIV/0!</v>
      </c>
      <c r="L80" s="52" t="e">
        <f t="shared" si="49"/>
        <v>#DIV/0!</v>
      </c>
      <c r="M80" s="52" t="e">
        <f t="shared" si="49"/>
        <v>#DIV/0!</v>
      </c>
      <c r="N80" s="52" t="e">
        <f t="shared" si="49"/>
        <v>#DIV/0!</v>
      </c>
      <c r="O80" s="52" t="e">
        <f t="shared" si="49"/>
        <v>#DIV/0!</v>
      </c>
      <c r="P80" s="52"/>
      <c r="Q80" s="52"/>
      <c r="R80" s="52"/>
    </row>
    <row r="81" spans="2:18">
      <c r="B81" s="51">
        <v>5</v>
      </c>
      <c r="C81" s="52"/>
      <c r="D81" s="52" t="e">
        <f t="shared" si="49"/>
        <v>#DIV/0!</v>
      </c>
      <c r="E81" s="52" t="e">
        <f t="shared" si="49"/>
        <v>#DIV/0!</v>
      </c>
      <c r="F81" s="52" t="e">
        <f t="shared" si="49"/>
        <v>#DIV/0!</v>
      </c>
      <c r="G81" s="52" t="e">
        <f t="shared" si="49"/>
        <v>#DIV/0!</v>
      </c>
      <c r="H81" s="52" t="e">
        <f t="shared" si="49"/>
        <v>#DIV/0!</v>
      </c>
      <c r="I81" s="52" t="e">
        <f t="shared" si="49"/>
        <v>#DIV/0!</v>
      </c>
      <c r="J81" s="52" t="e">
        <f t="shared" si="49"/>
        <v>#DIV/0!</v>
      </c>
      <c r="K81" s="52" t="e">
        <f t="shared" si="49"/>
        <v>#DIV/0!</v>
      </c>
      <c r="L81" s="52" t="e">
        <f t="shared" si="49"/>
        <v>#DIV/0!</v>
      </c>
      <c r="M81" s="52" t="e">
        <f t="shared" si="49"/>
        <v>#DIV/0!</v>
      </c>
      <c r="N81" s="52" t="e">
        <f t="shared" si="49"/>
        <v>#DIV/0!</v>
      </c>
      <c r="O81" s="52" t="e">
        <f t="shared" si="49"/>
        <v>#DIV/0!</v>
      </c>
      <c r="P81" s="52"/>
      <c r="Q81" s="52"/>
      <c r="R81" s="52"/>
    </row>
    <row r="82" spans="2:18">
      <c r="B82" s="51">
        <v>6</v>
      </c>
      <c r="C82" s="52"/>
      <c r="D82" s="52" t="e">
        <f t="shared" si="49"/>
        <v>#DIV/0!</v>
      </c>
      <c r="E82" s="52" t="e">
        <f t="shared" si="49"/>
        <v>#DIV/0!</v>
      </c>
      <c r="F82" s="52" t="e">
        <f t="shared" si="49"/>
        <v>#DIV/0!</v>
      </c>
      <c r="G82" s="52" t="e">
        <f t="shared" si="49"/>
        <v>#DIV/0!</v>
      </c>
      <c r="H82" s="52" t="e">
        <f t="shared" si="49"/>
        <v>#DIV/0!</v>
      </c>
      <c r="I82" s="52" t="e">
        <f t="shared" si="49"/>
        <v>#DIV/0!</v>
      </c>
      <c r="J82" s="52" t="e">
        <f t="shared" si="49"/>
        <v>#DIV/0!</v>
      </c>
      <c r="K82" s="52" t="e">
        <f t="shared" si="49"/>
        <v>#DIV/0!</v>
      </c>
      <c r="L82" s="52" t="e">
        <f t="shared" si="49"/>
        <v>#DIV/0!</v>
      </c>
      <c r="M82" s="52" t="e">
        <f t="shared" si="49"/>
        <v>#DIV/0!</v>
      </c>
      <c r="N82" s="52" t="e">
        <f t="shared" si="49"/>
        <v>#DIV/0!</v>
      </c>
      <c r="O82" s="52" t="e">
        <f t="shared" si="49"/>
        <v>#DIV/0!</v>
      </c>
      <c r="P82" s="52"/>
      <c r="Q82" s="52"/>
      <c r="R82" s="52"/>
    </row>
    <row r="83" spans="2:18">
      <c r="B83" s="51">
        <v>7</v>
      </c>
      <c r="C83" s="52"/>
      <c r="D83" s="52" t="e">
        <f t="shared" si="49"/>
        <v>#DIV/0!</v>
      </c>
      <c r="E83" s="52" t="e">
        <f t="shared" si="49"/>
        <v>#DIV/0!</v>
      </c>
      <c r="F83" s="52" t="e">
        <f t="shared" si="49"/>
        <v>#DIV/0!</v>
      </c>
      <c r="G83" s="52" t="e">
        <f t="shared" si="49"/>
        <v>#DIV/0!</v>
      </c>
      <c r="H83" s="52" t="e">
        <f t="shared" si="49"/>
        <v>#DIV/0!</v>
      </c>
      <c r="I83" s="52" t="e">
        <f t="shared" si="49"/>
        <v>#DIV/0!</v>
      </c>
      <c r="J83" s="52" t="e">
        <f t="shared" si="49"/>
        <v>#DIV/0!</v>
      </c>
      <c r="K83" s="52" t="e">
        <f t="shared" si="49"/>
        <v>#DIV/0!</v>
      </c>
      <c r="L83" s="52" t="e">
        <f t="shared" si="49"/>
        <v>#DIV/0!</v>
      </c>
      <c r="M83" s="52" t="e">
        <f t="shared" si="49"/>
        <v>#DIV/0!</v>
      </c>
      <c r="N83" s="52" t="e">
        <f t="shared" si="49"/>
        <v>#DIV/0!</v>
      </c>
      <c r="O83" s="52" t="e">
        <f t="shared" si="49"/>
        <v>#DIV/0!</v>
      </c>
      <c r="P83" s="52"/>
      <c r="Q83" s="52"/>
      <c r="R83" s="52"/>
    </row>
    <row r="84" spans="2:18">
      <c r="B84" s="51">
        <v>8</v>
      </c>
      <c r="C84" s="52"/>
      <c r="D84" s="52" t="e">
        <f t="shared" si="49"/>
        <v>#DIV/0!</v>
      </c>
      <c r="E84" s="52" t="e">
        <f t="shared" si="49"/>
        <v>#DIV/0!</v>
      </c>
      <c r="F84" s="52" t="e">
        <f t="shared" si="49"/>
        <v>#DIV/0!</v>
      </c>
      <c r="G84" s="52" t="e">
        <f t="shared" si="49"/>
        <v>#DIV/0!</v>
      </c>
      <c r="H84" s="52" t="e">
        <f t="shared" si="49"/>
        <v>#DIV/0!</v>
      </c>
      <c r="I84" s="52" t="e">
        <f t="shared" si="49"/>
        <v>#DIV/0!</v>
      </c>
      <c r="J84" s="52" t="e">
        <f t="shared" si="49"/>
        <v>#DIV/0!</v>
      </c>
      <c r="K84" s="52" t="e">
        <f t="shared" si="49"/>
        <v>#DIV/0!</v>
      </c>
      <c r="L84" s="52" t="e">
        <f t="shared" si="49"/>
        <v>#DIV/0!</v>
      </c>
      <c r="M84" s="52" t="e">
        <f t="shared" si="49"/>
        <v>#DIV/0!</v>
      </c>
      <c r="N84" s="52" t="e">
        <f t="shared" si="49"/>
        <v>#DIV/0!</v>
      </c>
      <c r="O84" s="52" t="e">
        <f t="shared" si="49"/>
        <v>#DIV/0!</v>
      </c>
      <c r="P84" s="52"/>
      <c r="Q84" s="52"/>
      <c r="R84" s="52"/>
    </row>
    <row r="85" spans="2:18">
      <c r="B85" s="51">
        <v>9</v>
      </c>
      <c r="C85" s="52"/>
      <c r="D85" s="52" t="e">
        <f t="shared" si="49"/>
        <v>#DIV/0!</v>
      </c>
      <c r="E85" s="52" t="e">
        <f t="shared" si="49"/>
        <v>#DIV/0!</v>
      </c>
      <c r="F85" s="52" t="e">
        <f t="shared" si="49"/>
        <v>#DIV/0!</v>
      </c>
      <c r="G85" s="52" t="e">
        <f t="shared" si="49"/>
        <v>#DIV/0!</v>
      </c>
      <c r="H85" s="52" t="e">
        <f t="shared" si="49"/>
        <v>#DIV/0!</v>
      </c>
      <c r="I85" s="52" t="e">
        <f t="shared" si="49"/>
        <v>#DIV/0!</v>
      </c>
      <c r="J85" s="52" t="e">
        <f t="shared" si="49"/>
        <v>#DIV/0!</v>
      </c>
      <c r="K85" s="52" t="e">
        <f t="shared" si="49"/>
        <v>#DIV/0!</v>
      </c>
      <c r="L85" s="52" t="e">
        <f t="shared" si="49"/>
        <v>#DIV/0!</v>
      </c>
      <c r="M85" s="52" t="e">
        <f t="shared" si="49"/>
        <v>#DIV/0!</v>
      </c>
      <c r="N85" s="52" t="e">
        <f t="shared" si="49"/>
        <v>#DIV/0!</v>
      </c>
      <c r="O85" s="52" t="e">
        <f t="shared" si="49"/>
        <v>#DIV/0!</v>
      </c>
      <c r="P85" s="52"/>
      <c r="Q85" s="52"/>
      <c r="R85" s="52"/>
    </row>
    <row r="86" spans="2:18">
      <c r="B86" s="51">
        <v>10</v>
      </c>
      <c r="C86" s="52"/>
      <c r="D86" s="52" t="e">
        <f t="shared" si="49"/>
        <v>#DIV/0!</v>
      </c>
      <c r="E86" s="52" t="e">
        <f t="shared" si="49"/>
        <v>#DIV/0!</v>
      </c>
      <c r="F86" s="52" t="e">
        <f t="shared" si="49"/>
        <v>#DIV/0!</v>
      </c>
      <c r="G86" s="52" t="e">
        <f t="shared" si="49"/>
        <v>#DIV/0!</v>
      </c>
      <c r="H86" s="52" t="e">
        <f t="shared" si="49"/>
        <v>#DIV/0!</v>
      </c>
      <c r="I86" s="52" t="e">
        <f t="shared" si="49"/>
        <v>#DIV/0!</v>
      </c>
      <c r="J86" s="52" t="e">
        <f t="shared" si="49"/>
        <v>#DIV/0!</v>
      </c>
      <c r="K86" s="52" t="e">
        <f t="shared" si="49"/>
        <v>#DIV/0!</v>
      </c>
      <c r="L86" s="52" t="e">
        <f t="shared" si="49"/>
        <v>#DIV/0!</v>
      </c>
      <c r="M86" s="52" t="e">
        <f t="shared" si="49"/>
        <v>#DIV/0!</v>
      </c>
      <c r="N86" s="52" t="e">
        <f t="shared" si="49"/>
        <v>#DIV/0!</v>
      </c>
      <c r="O86" s="52" t="e">
        <f t="shared" si="49"/>
        <v>#DIV/0!</v>
      </c>
      <c r="P86" s="52"/>
      <c r="Q86" s="52"/>
      <c r="R86" s="52"/>
    </row>
    <row r="87" spans="2:18">
      <c r="B87" s="51">
        <v>11</v>
      </c>
      <c r="C87" s="52"/>
      <c r="D87" s="52" t="e">
        <f t="shared" ref="D87:O96" si="50">-D$73*D$66*HLOOKUP((D$65+$B87),$C$2:$AZ$3,2,FALSE)</f>
        <v>#DIV/0!</v>
      </c>
      <c r="E87" s="52" t="e">
        <f t="shared" si="50"/>
        <v>#DIV/0!</v>
      </c>
      <c r="F87" s="52" t="e">
        <f t="shared" si="50"/>
        <v>#DIV/0!</v>
      </c>
      <c r="G87" s="52" t="e">
        <f t="shared" si="50"/>
        <v>#DIV/0!</v>
      </c>
      <c r="H87" s="52" t="e">
        <f t="shared" si="50"/>
        <v>#DIV/0!</v>
      </c>
      <c r="I87" s="52" t="e">
        <f t="shared" si="50"/>
        <v>#DIV/0!</v>
      </c>
      <c r="J87" s="52" t="e">
        <f t="shared" si="50"/>
        <v>#DIV/0!</v>
      </c>
      <c r="K87" s="52" t="e">
        <f t="shared" si="50"/>
        <v>#DIV/0!</v>
      </c>
      <c r="L87" s="52" t="e">
        <f t="shared" si="50"/>
        <v>#DIV/0!</v>
      </c>
      <c r="M87" s="52" t="e">
        <f t="shared" si="50"/>
        <v>#DIV/0!</v>
      </c>
      <c r="N87" s="52" t="e">
        <f t="shared" si="50"/>
        <v>#DIV/0!</v>
      </c>
      <c r="O87" s="52" t="e">
        <f t="shared" si="50"/>
        <v>#DIV/0!</v>
      </c>
      <c r="P87" s="52"/>
      <c r="Q87" s="52"/>
      <c r="R87" s="52"/>
    </row>
    <row r="88" spans="2:18">
      <c r="B88" s="51">
        <v>12</v>
      </c>
      <c r="C88" s="52"/>
      <c r="D88" s="52" t="e">
        <f t="shared" si="50"/>
        <v>#DIV/0!</v>
      </c>
      <c r="E88" s="52" t="e">
        <f t="shared" si="50"/>
        <v>#DIV/0!</v>
      </c>
      <c r="F88" s="52" t="e">
        <f t="shared" si="50"/>
        <v>#DIV/0!</v>
      </c>
      <c r="G88" s="52" t="e">
        <f t="shared" si="50"/>
        <v>#DIV/0!</v>
      </c>
      <c r="H88" s="52" t="e">
        <f t="shared" si="50"/>
        <v>#DIV/0!</v>
      </c>
      <c r="I88" s="52" t="e">
        <f t="shared" si="50"/>
        <v>#DIV/0!</v>
      </c>
      <c r="J88" s="52" t="e">
        <f t="shared" si="50"/>
        <v>#DIV/0!</v>
      </c>
      <c r="K88" s="52" t="e">
        <f t="shared" si="50"/>
        <v>#DIV/0!</v>
      </c>
      <c r="L88" s="52" t="e">
        <f t="shared" si="50"/>
        <v>#DIV/0!</v>
      </c>
      <c r="M88" s="52" t="e">
        <f t="shared" si="50"/>
        <v>#DIV/0!</v>
      </c>
      <c r="N88" s="52" t="e">
        <f t="shared" si="50"/>
        <v>#DIV/0!</v>
      </c>
      <c r="O88" s="52" t="e">
        <f t="shared" si="50"/>
        <v>#DIV/0!</v>
      </c>
      <c r="P88" s="52"/>
      <c r="Q88" s="52"/>
      <c r="R88" s="52"/>
    </row>
    <row r="89" spans="2:18">
      <c r="B89" s="51">
        <v>13</v>
      </c>
      <c r="C89" s="52"/>
      <c r="D89" s="52" t="e">
        <f t="shared" si="50"/>
        <v>#DIV/0!</v>
      </c>
      <c r="E89" s="52" t="e">
        <f t="shared" si="50"/>
        <v>#DIV/0!</v>
      </c>
      <c r="F89" s="52" t="e">
        <f t="shared" si="50"/>
        <v>#DIV/0!</v>
      </c>
      <c r="G89" s="52" t="e">
        <f t="shared" si="50"/>
        <v>#DIV/0!</v>
      </c>
      <c r="H89" s="52" t="e">
        <f t="shared" si="50"/>
        <v>#DIV/0!</v>
      </c>
      <c r="I89" s="52" t="e">
        <f t="shared" si="50"/>
        <v>#DIV/0!</v>
      </c>
      <c r="J89" s="52" t="e">
        <f t="shared" si="50"/>
        <v>#DIV/0!</v>
      </c>
      <c r="K89" s="52" t="e">
        <f t="shared" si="50"/>
        <v>#DIV/0!</v>
      </c>
      <c r="L89" s="52" t="e">
        <f t="shared" si="50"/>
        <v>#DIV/0!</v>
      </c>
      <c r="M89" s="52" t="e">
        <f t="shared" si="50"/>
        <v>#DIV/0!</v>
      </c>
      <c r="N89" s="52" t="e">
        <f t="shared" si="50"/>
        <v>#DIV/0!</v>
      </c>
      <c r="O89" s="52" t="e">
        <f t="shared" si="50"/>
        <v>#DIV/0!</v>
      </c>
      <c r="P89" s="52"/>
      <c r="Q89" s="52"/>
      <c r="R89" s="52"/>
    </row>
    <row r="90" spans="2:18">
      <c r="B90" s="51">
        <v>14</v>
      </c>
      <c r="C90" s="52"/>
      <c r="D90" s="52" t="e">
        <f t="shared" si="50"/>
        <v>#DIV/0!</v>
      </c>
      <c r="E90" s="52" t="e">
        <f t="shared" si="50"/>
        <v>#DIV/0!</v>
      </c>
      <c r="F90" s="52" t="e">
        <f t="shared" si="50"/>
        <v>#DIV/0!</v>
      </c>
      <c r="G90" s="52" t="e">
        <f t="shared" si="50"/>
        <v>#DIV/0!</v>
      </c>
      <c r="H90" s="52" t="e">
        <f t="shared" si="50"/>
        <v>#DIV/0!</v>
      </c>
      <c r="I90" s="52" t="e">
        <f t="shared" si="50"/>
        <v>#DIV/0!</v>
      </c>
      <c r="J90" s="52" t="e">
        <f t="shared" si="50"/>
        <v>#DIV/0!</v>
      </c>
      <c r="K90" s="52" t="e">
        <f t="shared" si="50"/>
        <v>#DIV/0!</v>
      </c>
      <c r="L90" s="52" t="e">
        <f t="shared" si="50"/>
        <v>#DIV/0!</v>
      </c>
      <c r="M90" s="52" t="e">
        <f t="shared" si="50"/>
        <v>#DIV/0!</v>
      </c>
      <c r="N90" s="52" t="e">
        <f t="shared" si="50"/>
        <v>#DIV/0!</v>
      </c>
      <c r="O90" s="52" t="e">
        <f t="shared" si="50"/>
        <v>#DIV/0!</v>
      </c>
      <c r="P90" s="52"/>
      <c r="Q90" s="52"/>
      <c r="R90" s="52"/>
    </row>
    <row r="91" spans="2:18">
      <c r="B91" s="51">
        <v>15</v>
      </c>
      <c r="C91" s="52"/>
      <c r="D91" s="52" t="e">
        <f t="shared" si="50"/>
        <v>#DIV/0!</v>
      </c>
      <c r="E91" s="52" t="e">
        <f t="shared" si="50"/>
        <v>#DIV/0!</v>
      </c>
      <c r="F91" s="52" t="e">
        <f t="shared" si="50"/>
        <v>#DIV/0!</v>
      </c>
      <c r="G91" s="52" t="e">
        <f t="shared" si="50"/>
        <v>#DIV/0!</v>
      </c>
      <c r="H91" s="52" t="e">
        <f t="shared" si="50"/>
        <v>#DIV/0!</v>
      </c>
      <c r="I91" s="52" t="e">
        <f t="shared" si="50"/>
        <v>#DIV/0!</v>
      </c>
      <c r="J91" s="52" t="e">
        <f t="shared" si="50"/>
        <v>#DIV/0!</v>
      </c>
      <c r="K91" s="52" t="e">
        <f t="shared" si="50"/>
        <v>#DIV/0!</v>
      </c>
      <c r="L91" s="52" t="e">
        <f t="shared" si="50"/>
        <v>#DIV/0!</v>
      </c>
      <c r="M91" s="52" t="e">
        <f t="shared" si="50"/>
        <v>#DIV/0!</v>
      </c>
      <c r="N91" s="52" t="e">
        <f t="shared" si="50"/>
        <v>#DIV/0!</v>
      </c>
      <c r="O91" s="52" t="e">
        <f t="shared" si="50"/>
        <v>#DIV/0!</v>
      </c>
      <c r="P91" s="52"/>
      <c r="Q91" s="52"/>
      <c r="R91" s="52"/>
    </row>
    <row r="92" spans="2:18">
      <c r="B92" s="51">
        <v>16</v>
      </c>
      <c r="C92" s="52"/>
      <c r="D92" s="52" t="e">
        <f t="shared" si="50"/>
        <v>#DIV/0!</v>
      </c>
      <c r="E92" s="52" t="e">
        <f t="shared" si="50"/>
        <v>#DIV/0!</v>
      </c>
      <c r="F92" s="52" t="e">
        <f t="shared" si="50"/>
        <v>#DIV/0!</v>
      </c>
      <c r="G92" s="52" t="e">
        <f t="shared" si="50"/>
        <v>#DIV/0!</v>
      </c>
      <c r="H92" s="52" t="e">
        <f t="shared" si="50"/>
        <v>#DIV/0!</v>
      </c>
      <c r="I92" s="52" t="e">
        <f t="shared" si="50"/>
        <v>#DIV/0!</v>
      </c>
      <c r="J92" s="52" t="e">
        <f t="shared" si="50"/>
        <v>#DIV/0!</v>
      </c>
      <c r="K92" s="52" t="e">
        <f t="shared" si="50"/>
        <v>#DIV/0!</v>
      </c>
      <c r="L92" s="52" t="e">
        <f t="shared" si="50"/>
        <v>#DIV/0!</v>
      </c>
      <c r="M92" s="52" t="e">
        <f t="shared" si="50"/>
        <v>#DIV/0!</v>
      </c>
      <c r="N92" s="52" t="e">
        <f t="shared" si="50"/>
        <v>#DIV/0!</v>
      </c>
      <c r="O92" s="52" t="e">
        <f t="shared" si="50"/>
        <v>#DIV/0!</v>
      </c>
      <c r="P92" s="52"/>
      <c r="Q92" s="52"/>
      <c r="R92" s="52"/>
    </row>
    <row r="93" spans="2:18">
      <c r="B93" s="51">
        <v>17</v>
      </c>
      <c r="C93" s="52"/>
      <c r="D93" s="52" t="e">
        <f t="shared" si="50"/>
        <v>#DIV/0!</v>
      </c>
      <c r="E93" s="52" t="e">
        <f t="shared" si="50"/>
        <v>#DIV/0!</v>
      </c>
      <c r="F93" s="52" t="e">
        <f t="shared" si="50"/>
        <v>#DIV/0!</v>
      </c>
      <c r="G93" s="52" t="e">
        <f t="shared" si="50"/>
        <v>#DIV/0!</v>
      </c>
      <c r="H93" s="52" t="e">
        <f t="shared" si="50"/>
        <v>#DIV/0!</v>
      </c>
      <c r="I93" s="52" t="e">
        <f t="shared" si="50"/>
        <v>#DIV/0!</v>
      </c>
      <c r="J93" s="52" t="e">
        <f t="shared" si="50"/>
        <v>#DIV/0!</v>
      </c>
      <c r="K93" s="52" t="e">
        <f t="shared" si="50"/>
        <v>#DIV/0!</v>
      </c>
      <c r="L93" s="52" t="e">
        <f t="shared" si="50"/>
        <v>#DIV/0!</v>
      </c>
      <c r="M93" s="52" t="e">
        <f t="shared" si="50"/>
        <v>#DIV/0!</v>
      </c>
      <c r="N93" s="52" t="e">
        <f t="shared" si="50"/>
        <v>#DIV/0!</v>
      </c>
      <c r="O93" s="52" t="e">
        <f t="shared" si="50"/>
        <v>#DIV/0!</v>
      </c>
      <c r="P93" s="52"/>
      <c r="Q93" s="52"/>
      <c r="R93" s="52"/>
    </row>
    <row r="94" spans="2:18">
      <c r="B94" s="51">
        <v>18</v>
      </c>
      <c r="C94" s="52"/>
      <c r="D94" s="52" t="e">
        <f t="shared" si="50"/>
        <v>#DIV/0!</v>
      </c>
      <c r="E94" s="52" t="e">
        <f t="shared" si="50"/>
        <v>#DIV/0!</v>
      </c>
      <c r="F94" s="52" t="e">
        <f t="shared" si="50"/>
        <v>#DIV/0!</v>
      </c>
      <c r="G94" s="52" t="e">
        <f t="shared" si="50"/>
        <v>#DIV/0!</v>
      </c>
      <c r="H94" s="52" t="e">
        <f t="shared" si="50"/>
        <v>#DIV/0!</v>
      </c>
      <c r="I94" s="52" t="e">
        <f t="shared" si="50"/>
        <v>#DIV/0!</v>
      </c>
      <c r="J94" s="52" t="e">
        <f t="shared" si="50"/>
        <v>#DIV/0!</v>
      </c>
      <c r="K94" s="52" t="e">
        <f t="shared" si="50"/>
        <v>#DIV/0!</v>
      </c>
      <c r="L94" s="52" t="e">
        <f t="shared" si="50"/>
        <v>#DIV/0!</v>
      </c>
      <c r="M94" s="52" t="e">
        <f t="shared" si="50"/>
        <v>#DIV/0!</v>
      </c>
      <c r="N94" s="52" t="e">
        <f t="shared" si="50"/>
        <v>#DIV/0!</v>
      </c>
      <c r="O94" s="52" t="e">
        <f t="shared" si="50"/>
        <v>#DIV/0!</v>
      </c>
      <c r="P94" s="52"/>
      <c r="Q94" s="52"/>
      <c r="R94" s="52"/>
    </row>
    <row r="95" spans="2:18">
      <c r="B95" s="51">
        <v>19</v>
      </c>
      <c r="C95" s="52"/>
      <c r="D95" s="52" t="e">
        <f t="shared" si="50"/>
        <v>#DIV/0!</v>
      </c>
      <c r="E95" s="52" t="e">
        <f t="shared" si="50"/>
        <v>#DIV/0!</v>
      </c>
      <c r="F95" s="52" t="e">
        <f t="shared" si="50"/>
        <v>#DIV/0!</v>
      </c>
      <c r="G95" s="52" t="e">
        <f t="shared" si="50"/>
        <v>#DIV/0!</v>
      </c>
      <c r="H95" s="52" t="e">
        <f t="shared" si="50"/>
        <v>#DIV/0!</v>
      </c>
      <c r="I95" s="52" t="e">
        <f t="shared" si="50"/>
        <v>#DIV/0!</v>
      </c>
      <c r="J95" s="52" t="e">
        <f t="shared" si="50"/>
        <v>#DIV/0!</v>
      </c>
      <c r="K95" s="52" t="e">
        <f t="shared" si="50"/>
        <v>#DIV/0!</v>
      </c>
      <c r="L95" s="52" t="e">
        <f t="shared" si="50"/>
        <v>#DIV/0!</v>
      </c>
      <c r="M95" s="52" t="e">
        <f t="shared" si="50"/>
        <v>#DIV/0!</v>
      </c>
      <c r="N95" s="52" t="e">
        <f t="shared" si="50"/>
        <v>#DIV/0!</v>
      </c>
      <c r="O95" s="52" t="e">
        <f t="shared" si="50"/>
        <v>#DIV/0!</v>
      </c>
      <c r="P95" s="52"/>
      <c r="Q95" s="52"/>
      <c r="R95" s="52"/>
    </row>
    <row r="96" spans="2:18">
      <c r="B96" s="51">
        <v>20</v>
      </c>
      <c r="C96" s="52"/>
      <c r="D96" s="52" t="e">
        <f t="shared" si="50"/>
        <v>#DIV/0!</v>
      </c>
      <c r="E96" s="52" t="e">
        <f t="shared" si="50"/>
        <v>#DIV/0!</v>
      </c>
      <c r="F96" s="52" t="e">
        <f t="shared" si="50"/>
        <v>#DIV/0!</v>
      </c>
      <c r="G96" s="52" t="e">
        <f t="shared" si="50"/>
        <v>#DIV/0!</v>
      </c>
      <c r="H96" s="52" t="e">
        <f t="shared" si="50"/>
        <v>#DIV/0!</v>
      </c>
      <c r="I96" s="52" t="e">
        <f t="shared" si="50"/>
        <v>#DIV/0!</v>
      </c>
      <c r="J96" s="52" t="e">
        <f t="shared" si="50"/>
        <v>#DIV/0!</v>
      </c>
      <c r="K96" s="52" t="e">
        <f t="shared" si="50"/>
        <v>#DIV/0!</v>
      </c>
      <c r="L96" s="52" t="e">
        <f t="shared" si="50"/>
        <v>#DIV/0!</v>
      </c>
      <c r="M96" s="52" t="e">
        <f t="shared" si="50"/>
        <v>#DIV/0!</v>
      </c>
      <c r="N96" s="52" t="e">
        <f t="shared" si="50"/>
        <v>#DIV/0!</v>
      </c>
      <c r="O96" s="52" t="e">
        <f t="shared" si="50"/>
        <v>#DIV/0!</v>
      </c>
      <c r="P96" s="52"/>
      <c r="Q96" s="52"/>
      <c r="R96" s="52"/>
    </row>
    <row r="97" spans="2:18">
      <c r="P97" s="52"/>
      <c r="Q97" s="52"/>
      <c r="R97" s="52"/>
    </row>
    <row r="98" spans="2:18" ht="16">
      <c r="B98" s="51" t="s">
        <v>113</v>
      </c>
      <c r="C98" s="52"/>
      <c r="D98" s="52">
        <f>C77</f>
        <v>0</v>
      </c>
      <c r="E98" s="52" t="e">
        <f>D77+C78</f>
        <v>#DIV/0!</v>
      </c>
      <c r="F98" s="52" t="e">
        <f>E77+D78+C79</f>
        <v>#DIV/0!</v>
      </c>
      <c r="G98" s="52" t="e">
        <f>F77+E78+D79+C80</f>
        <v>#DIV/0!</v>
      </c>
      <c r="H98" s="52" t="e">
        <f>G77+F78+E79+D80+C81</f>
        <v>#DIV/0!</v>
      </c>
      <c r="I98" s="52" t="e">
        <f>H77+G78+F79+E80+D81+C82</f>
        <v>#DIV/0!</v>
      </c>
      <c r="J98" s="52" t="e">
        <f>I77+H78+G79+F80+E81+D82+C83</f>
        <v>#DIV/0!</v>
      </c>
      <c r="K98" s="52" t="e">
        <f>J77+I78+H79+G80+F81+E82+D83+C84</f>
        <v>#DIV/0!</v>
      </c>
      <c r="L98" s="52" t="e">
        <f>K77+J78+I79+H80+G81+F82+E83+D84+C85</f>
        <v>#DIV/0!</v>
      </c>
      <c r="M98" s="52" t="e">
        <f>L77+K78+J79+I80+H81+G82+F83+E84+D85+C86</f>
        <v>#DIV/0!</v>
      </c>
      <c r="N98" s="52" t="e">
        <f>M77+L78+K79+J80+I81+H82+G83+F84+E85+D86+C87</f>
        <v>#DIV/0!</v>
      </c>
      <c r="O98" s="52" t="e">
        <f>N77+M78+L79+K80+J81+I82+H83+G84+F85+E86+D87</f>
        <v>#DIV/0!</v>
      </c>
      <c r="P98" s="52"/>
      <c r="Q98" s="52"/>
      <c r="R98" s="52"/>
    </row>
    <row r="99" spans="2:18" ht="16">
      <c r="B99" s="51" t="s">
        <v>114</v>
      </c>
      <c r="C99" s="52"/>
      <c r="D99" s="52">
        <f t="shared" ref="D99:J99" si="51">D76</f>
        <v>0</v>
      </c>
      <c r="E99" s="52">
        <f t="shared" si="51"/>
        <v>0</v>
      </c>
      <c r="F99" s="52">
        <f t="shared" si="51"/>
        <v>0</v>
      </c>
      <c r="G99" s="52">
        <f t="shared" si="51"/>
        <v>0</v>
      </c>
      <c r="H99" s="52">
        <f t="shared" si="51"/>
        <v>0</v>
      </c>
      <c r="I99" s="52">
        <f t="shared" si="51"/>
        <v>0</v>
      </c>
      <c r="J99" s="52">
        <f t="shared" si="51"/>
        <v>0</v>
      </c>
      <c r="K99" s="52">
        <f>K76</f>
        <v>0</v>
      </c>
      <c r="L99" s="52">
        <f>L76</f>
        <v>0</v>
      </c>
      <c r="M99" s="52">
        <f>M76</f>
        <v>0</v>
      </c>
      <c r="N99" s="52">
        <f>N76</f>
        <v>0</v>
      </c>
      <c r="O99" s="52">
        <f>O76</f>
        <v>0</v>
      </c>
      <c r="P99" s="52"/>
      <c r="Q99" s="52"/>
      <c r="R99" s="52"/>
    </row>
    <row r="100" spans="2:18">
      <c r="C100" s="52"/>
      <c r="D100" s="52"/>
      <c r="E100" s="52"/>
      <c r="F100" s="52"/>
      <c r="G100" s="52"/>
      <c r="H100" s="52"/>
      <c r="I100" s="52"/>
      <c r="J100" s="52"/>
      <c r="K100" s="52"/>
      <c r="L100" s="52"/>
      <c r="M100" s="52"/>
      <c r="N100" s="52"/>
      <c r="O100" s="52"/>
      <c r="P100" s="52"/>
      <c r="Q100" s="52"/>
      <c r="R100" s="52"/>
    </row>
    <row r="101" spans="2:18">
      <c r="C101" s="52"/>
      <c r="D101" s="54"/>
      <c r="E101" s="54"/>
      <c r="F101" s="54"/>
      <c r="G101" s="54"/>
      <c r="H101" s="54"/>
      <c r="I101" s="54"/>
      <c r="J101" s="54"/>
      <c r="K101" s="54"/>
      <c r="L101" s="54"/>
      <c r="M101" s="54"/>
      <c r="N101" s="54"/>
      <c r="O101" s="54"/>
    </row>
    <row r="102" spans="2:18">
      <c r="B102" s="49">
        <v>30</v>
      </c>
      <c r="C102" s="50"/>
      <c r="D102" s="50">
        <v>2023</v>
      </c>
      <c r="E102" s="50">
        <v>2024</v>
      </c>
      <c r="F102" s="50">
        <v>2025</v>
      </c>
      <c r="G102" s="50">
        <v>2026</v>
      </c>
      <c r="H102" s="50">
        <v>2027</v>
      </c>
      <c r="I102" s="50">
        <v>2028</v>
      </c>
      <c r="J102" s="50">
        <v>2029</v>
      </c>
      <c r="K102" s="50">
        <v>2030</v>
      </c>
      <c r="L102" s="50">
        <v>2031</v>
      </c>
      <c r="M102" s="50">
        <v>2032</v>
      </c>
      <c r="N102" s="50">
        <v>2033</v>
      </c>
      <c r="O102" s="50">
        <v>2034</v>
      </c>
    </row>
    <row r="103" spans="2:18" ht="16">
      <c r="B103" s="51" t="s">
        <v>105</v>
      </c>
      <c r="C103" s="79"/>
      <c r="D103" s="79">
        <f>Supuestos!F85</f>
        <v>0</v>
      </c>
      <c r="E103" s="79">
        <f>Supuestos!G85</f>
        <v>0</v>
      </c>
      <c r="F103" s="79">
        <f>Supuestos!H85</f>
        <v>0</v>
      </c>
      <c r="G103" s="79">
        <f>Supuestos!I85</f>
        <v>0</v>
      </c>
      <c r="H103" s="79">
        <f>Supuestos!J85</f>
        <v>0</v>
      </c>
      <c r="I103" s="79">
        <f>Supuestos!K85</f>
        <v>0</v>
      </c>
      <c r="J103" s="79">
        <f>Supuestos!L85</f>
        <v>0</v>
      </c>
      <c r="K103" s="79">
        <f>Supuestos!M85</f>
        <v>0</v>
      </c>
      <c r="L103" s="79">
        <f>Supuestos!N85</f>
        <v>0</v>
      </c>
      <c r="M103" s="79">
        <f>Supuestos!O85</f>
        <v>0</v>
      </c>
      <c r="N103" s="79">
        <f>Supuestos!P85</f>
        <v>0</v>
      </c>
      <c r="O103" s="79">
        <f>Supuestos!Q85</f>
        <v>0</v>
      </c>
    </row>
    <row r="104" spans="2:18" ht="16">
      <c r="B104" s="51" t="s">
        <v>90</v>
      </c>
      <c r="C104" s="56"/>
      <c r="D104" s="56">
        <f>Supuestos!F86</f>
        <v>30</v>
      </c>
      <c r="E104" s="56">
        <f>Supuestos!G86</f>
        <v>30</v>
      </c>
      <c r="F104" s="56">
        <f>Supuestos!H86</f>
        <v>30</v>
      </c>
      <c r="G104" s="56">
        <f>Supuestos!I86</f>
        <v>30</v>
      </c>
      <c r="H104" s="56">
        <f>Supuestos!J86</f>
        <v>30</v>
      </c>
      <c r="I104" s="56">
        <f>Supuestos!K86</f>
        <v>30</v>
      </c>
      <c r="J104" s="56">
        <f>Supuestos!L86</f>
        <v>30</v>
      </c>
      <c r="K104" s="56">
        <f>Supuestos!M86</f>
        <v>30</v>
      </c>
      <c r="L104" s="56">
        <f>Supuestos!N86</f>
        <v>30</v>
      </c>
      <c r="M104" s="56">
        <f>Supuestos!O86</f>
        <v>30</v>
      </c>
      <c r="N104" s="56">
        <f>Supuestos!P86</f>
        <v>30</v>
      </c>
      <c r="O104" s="56">
        <f>Supuestos!Q86</f>
        <v>30</v>
      </c>
    </row>
    <row r="105" spans="2:18" ht="16">
      <c r="B105" s="51" t="s">
        <v>79</v>
      </c>
      <c r="C105" s="56"/>
      <c r="D105" s="56">
        <f t="shared" ref="D105:N105" si="52">D102+D104</f>
        <v>2053</v>
      </c>
      <c r="E105" s="56">
        <f t="shared" si="52"/>
        <v>2054</v>
      </c>
      <c r="F105" s="56">
        <f t="shared" si="52"/>
        <v>2055</v>
      </c>
      <c r="G105" s="56">
        <f t="shared" si="52"/>
        <v>2056</v>
      </c>
      <c r="H105" s="56">
        <f t="shared" si="52"/>
        <v>2057</v>
      </c>
      <c r="I105" s="56">
        <f t="shared" si="52"/>
        <v>2058</v>
      </c>
      <c r="J105" s="56">
        <f t="shared" si="52"/>
        <v>2059</v>
      </c>
      <c r="K105" s="56">
        <f t="shared" si="52"/>
        <v>2060</v>
      </c>
      <c r="L105" s="56">
        <f t="shared" si="52"/>
        <v>2061</v>
      </c>
      <c r="M105" s="56">
        <f t="shared" si="52"/>
        <v>2062</v>
      </c>
      <c r="N105" s="56">
        <f t="shared" si="52"/>
        <v>2063</v>
      </c>
      <c r="O105" s="56">
        <f t="shared" ref="O105" si="53">O102+O104</f>
        <v>2064</v>
      </c>
    </row>
    <row r="106" spans="2:18" ht="16">
      <c r="B106" s="51" t="s">
        <v>107</v>
      </c>
      <c r="C106" s="54"/>
      <c r="D106" s="54">
        <f>Supuestos!F74</f>
        <v>0</v>
      </c>
      <c r="E106" s="54">
        <f>Supuestos!G74</f>
        <v>0</v>
      </c>
      <c r="F106" s="54">
        <f>Supuestos!H74</f>
        <v>0</v>
      </c>
      <c r="G106" s="54">
        <f>Supuestos!I74</f>
        <v>0</v>
      </c>
      <c r="H106" s="54">
        <f>Supuestos!J74</f>
        <v>0</v>
      </c>
      <c r="I106" s="54">
        <f>Supuestos!K74</f>
        <v>0</v>
      </c>
      <c r="J106" s="54">
        <f>Supuestos!L74</f>
        <v>0</v>
      </c>
      <c r="K106" s="54">
        <f>Supuestos!M74</f>
        <v>0</v>
      </c>
      <c r="L106" s="54">
        <f>Supuestos!N74</f>
        <v>0</v>
      </c>
      <c r="M106" s="54">
        <f>Supuestos!O74</f>
        <v>0</v>
      </c>
      <c r="N106" s="54">
        <f>Supuestos!P74</f>
        <v>0</v>
      </c>
      <c r="O106" s="54">
        <f>Supuestos!Q74</f>
        <v>0</v>
      </c>
    </row>
    <row r="107" spans="2:18" ht="16">
      <c r="B107" s="51" t="s">
        <v>303</v>
      </c>
      <c r="C107" s="52"/>
      <c r="D107" s="52">
        <f t="shared" ref="D107:N107" si="54">D$4*D106</f>
        <v>0</v>
      </c>
      <c r="E107" s="52" t="e">
        <f t="shared" si="54"/>
        <v>#DIV/0!</v>
      </c>
      <c r="F107" s="52" t="e">
        <f t="shared" si="54"/>
        <v>#DIV/0!</v>
      </c>
      <c r="G107" s="52" t="e">
        <f t="shared" si="54"/>
        <v>#DIV/0!</v>
      </c>
      <c r="H107" s="52" t="e">
        <f t="shared" si="54"/>
        <v>#DIV/0!</v>
      </c>
      <c r="I107" s="52" t="e">
        <f t="shared" si="54"/>
        <v>#DIV/0!</v>
      </c>
      <c r="J107" s="52" t="e">
        <f t="shared" si="54"/>
        <v>#DIV/0!</v>
      </c>
      <c r="K107" s="52" t="e">
        <f t="shared" si="54"/>
        <v>#DIV/0!</v>
      </c>
      <c r="L107" s="52" t="e">
        <f t="shared" si="54"/>
        <v>#DIV/0!</v>
      </c>
      <c r="M107" s="52" t="e">
        <f t="shared" si="54"/>
        <v>#DIV/0!</v>
      </c>
      <c r="N107" s="52" t="e">
        <f t="shared" si="54"/>
        <v>#DIV/0!</v>
      </c>
      <c r="O107" s="52" t="e">
        <f t="shared" ref="O107" si="55">O$4*O106</f>
        <v>#DIV/0!</v>
      </c>
    </row>
    <row r="108" spans="2:18" ht="16">
      <c r="B108" s="51" t="s">
        <v>173</v>
      </c>
      <c r="C108" s="52"/>
      <c r="D108" s="52">
        <f t="shared" ref="D108:N108" si="56">D$5*D106</f>
        <v>0</v>
      </c>
      <c r="E108" s="52">
        <f t="shared" si="56"/>
        <v>0</v>
      </c>
      <c r="F108" s="52">
        <f t="shared" si="56"/>
        <v>0</v>
      </c>
      <c r="G108" s="52">
        <f t="shared" si="56"/>
        <v>0</v>
      </c>
      <c r="H108" s="52">
        <f t="shared" si="56"/>
        <v>0</v>
      </c>
      <c r="I108" s="52">
        <f t="shared" si="56"/>
        <v>0</v>
      </c>
      <c r="J108" s="52">
        <f t="shared" si="56"/>
        <v>0</v>
      </c>
      <c r="K108" s="52">
        <f t="shared" si="56"/>
        <v>0</v>
      </c>
      <c r="L108" s="52">
        <f t="shared" si="56"/>
        <v>0</v>
      </c>
      <c r="M108" s="52">
        <f t="shared" si="56"/>
        <v>0</v>
      </c>
      <c r="N108" s="52">
        <f t="shared" si="56"/>
        <v>0</v>
      </c>
      <c r="O108" s="52">
        <f t="shared" ref="O108" si="57">O$5*O106</f>
        <v>0</v>
      </c>
    </row>
    <row r="109" spans="2:18" ht="16">
      <c r="B109" s="58" t="s">
        <v>110</v>
      </c>
      <c r="C109" s="60"/>
      <c r="D109" s="60">
        <f t="shared" ref="D109:N109" si="58">SUM(D107:D108)</f>
        <v>0</v>
      </c>
      <c r="E109" s="60" t="e">
        <f t="shared" si="58"/>
        <v>#DIV/0!</v>
      </c>
      <c r="F109" s="60" t="e">
        <f t="shared" si="58"/>
        <v>#DIV/0!</v>
      </c>
      <c r="G109" s="60" t="e">
        <f t="shared" si="58"/>
        <v>#DIV/0!</v>
      </c>
      <c r="H109" s="60" t="e">
        <f t="shared" si="58"/>
        <v>#DIV/0!</v>
      </c>
      <c r="I109" s="60" t="e">
        <f t="shared" si="58"/>
        <v>#DIV/0!</v>
      </c>
      <c r="J109" s="60" t="e">
        <f t="shared" si="58"/>
        <v>#DIV/0!</v>
      </c>
      <c r="K109" s="60" t="e">
        <f t="shared" si="58"/>
        <v>#DIV/0!</v>
      </c>
      <c r="L109" s="60" t="e">
        <f t="shared" si="58"/>
        <v>#DIV/0!</v>
      </c>
      <c r="M109" s="60" t="e">
        <f t="shared" si="58"/>
        <v>#DIV/0!</v>
      </c>
      <c r="N109" s="60" t="e">
        <f t="shared" si="58"/>
        <v>#DIV/0!</v>
      </c>
      <c r="O109" s="60" t="e">
        <f t="shared" ref="O109" si="59">SUM(O107:O108)</f>
        <v>#DIV/0!</v>
      </c>
    </row>
    <row r="110" spans="2:18" ht="16">
      <c r="B110" s="396" t="s">
        <v>111</v>
      </c>
      <c r="C110" s="52"/>
      <c r="D110" s="448" t="e">
        <f t="shared" ref="D110:N110" si="60">D109/D$3</f>
        <v>#DIV/0!</v>
      </c>
      <c r="E110" s="448" t="e">
        <f t="shared" si="60"/>
        <v>#DIV/0!</v>
      </c>
      <c r="F110" s="448" t="e">
        <f t="shared" si="60"/>
        <v>#DIV/0!</v>
      </c>
      <c r="G110" s="448" t="e">
        <f t="shared" si="60"/>
        <v>#DIV/0!</v>
      </c>
      <c r="H110" s="448" t="e">
        <f t="shared" si="60"/>
        <v>#DIV/0!</v>
      </c>
      <c r="I110" s="448" t="e">
        <f t="shared" si="60"/>
        <v>#DIV/0!</v>
      </c>
      <c r="J110" s="448" t="e">
        <f t="shared" si="60"/>
        <v>#DIV/0!</v>
      </c>
      <c r="K110" s="448" t="e">
        <f t="shared" si="60"/>
        <v>#DIV/0!</v>
      </c>
      <c r="L110" s="448" t="e">
        <f t="shared" si="60"/>
        <v>#DIV/0!</v>
      </c>
      <c r="M110" s="448" t="e">
        <f t="shared" si="60"/>
        <v>#DIV/0!</v>
      </c>
      <c r="N110" s="448" t="e">
        <f t="shared" si="60"/>
        <v>#DIV/0!</v>
      </c>
      <c r="O110" s="448" t="e">
        <f t="shared" ref="O110" si="61">O109/O$3</f>
        <v>#DIV/0!</v>
      </c>
    </row>
    <row r="111" spans="2:18" ht="16">
      <c r="B111" s="58" t="s">
        <v>120</v>
      </c>
      <c r="C111" s="60"/>
      <c r="D111" s="60" t="e">
        <f t="shared" ref="D111:O111" si="62">D110*HLOOKUP(D105,$C2:$AZ3,2,FALSE)</f>
        <v>#DIV/0!</v>
      </c>
      <c r="E111" s="60" t="e">
        <f t="shared" si="62"/>
        <v>#DIV/0!</v>
      </c>
      <c r="F111" s="60" t="e">
        <f t="shared" si="62"/>
        <v>#DIV/0!</v>
      </c>
      <c r="G111" s="60" t="e">
        <f t="shared" si="62"/>
        <v>#DIV/0!</v>
      </c>
      <c r="H111" s="60" t="e">
        <f t="shared" si="62"/>
        <v>#DIV/0!</v>
      </c>
      <c r="I111" s="60" t="e">
        <f t="shared" si="62"/>
        <v>#DIV/0!</v>
      </c>
      <c r="J111" s="60" t="e">
        <f t="shared" si="62"/>
        <v>#DIV/0!</v>
      </c>
      <c r="K111" s="60" t="e">
        <f t="shared" si="62"/>
        <v>#DIV/0!</v>
      </c>
      <c r="L111" s="60" t="e">
        <f t="shared" si="62"/>
        <v>#DIV/0!</v>
      </c>
      <c r="M111" s="60" t="e">
        <f t="shared" si="62"/>
        <v>#DIV/0!</v>
      </c>
      <c r="N111" s="60" t="e">
        <f t="shared" si="62"/>
        <v>#DIV/0!</v>
      </c>
      <c r="O111" s="60" t="e">
        <f t="shared" si="62"/>
        <v>#DIV/0!</v>
      </c>
    </row>
    <row r="112" spans="2:18">
      <c r="C112" s="52"/>
      <c r="D112" s="52"/>
      <c r="E112" s="52"/>
      <c r="F112" s="52"/>
      <c r="G112" s="52"/>
      <c r="H112" s="52"/>
      <c r="I112" s="52"/>
      <c r="J112" s="52"/>
      <c r="K112" s="52"/>
      <c r="L112" s="52"/>
      <c r="M112" s="52"/>
      <c r="N112" s="52"/>
      <c r="O112" s="52"/>
    </row>
    <row r="113" spans="2:15">
      <c r="B113" s="51">
        <v>0</v>
      </c>
      <c r="C113" s="52"/>
      <c r="D113" s="52"/>
      <c r="E113" s="52"/>
      <c r="F113" s="52"/>
      <c r="G113" s="52"/>
      <c r="H113" s="52"/>
      <c r="I113" s="52"/>
      <c r="J113" s="52"/>
      <c r="K113" s="52"/>
      <c r="L113" s="52"/>
      <c r="M113" s="52"/>
      <c r="N113" s="52"/>
      <c r="O113" s="52"/>
    </row>
    <row r="114" spans="2:15">
      <c r="B114" s="51">
        <v>1</v>
      </c>
      <c r="C114" s="52"/>
      <c r="D114" s="52" t="e">
        <f t="shared" ref="D114:O123" si="63">-D$103*D$110*HLOOKUP((D$102+$B114),$C$2:$AZ$3,2,FALSE)</f>
        <v>#DIV/0!</v>
      </c>
      <c r="E114" s="52" t="e">
        <f t="shared" si="63"/>
        <v>#DIV/0!</v>
      </c>
      <c r="F114" s="52" t="e">
        <f t="shared" si="63"/>
        <v>#DIV/0!</v>
      </c>
      <c r="G114" s="52" t="e">
        <f t="shared" si="63"/>
        <v>#DIV/0!</v>
      </c>
      <c r="H114" s="52" t="e">
        <f t="shared" si="63"/>
        <v>#DIV/0!</v>
      </c>
      <c r="I114" s="52" t="e">
        <f t="shared" si="63"/>
        <v>#DIV/0!</v>
      </c>
      <c r="J114" s="52" t="e">
        <f t="shared" si="63"/>
        <v>#DIV/0!</v>
      </c>
      <c r="K114" s="52" t="e">
        <f t="shared" si="63"/>
        <v>#DIV/0!</v>
      </c>
      <c r="L114" s="52" t="e">
        <f t="shared" si="63"/>
        <v>#DIV/0!</v>
      </c>
      <c r="M114" s="52" t="e">
        <f t="shared" si="63"/>
        <v>#DIV/0!</v>
      </c>
      <c r="N114" s="52" t="e">
        <f t="shared" si="63"/>
        <v>#DIV/0!</v>
      </c>
      <c r="O114" s="52" t="e">
        <f t="shared" si="63"/>
        <v>#DIV/0!</v>
      </c>
    </row>
    <row r="115" spans="2:15">
      <c r="B115" s="51">
        <v>2</v>
      </c>
      <c r="C115" s="52"/>
      <c r="D115" s="52" t="e">
        <f t="shared" si="63"/>
        <v>#DIV/0!</v>
      </c>
      <c r="E115" s="52" t="e">
        <f t="shared" si="63"/>
        <v>#DIV/0!</v>
      </c>
      <c r="F115" s="52" t="e">
        <f t="shared" si="63"/>
        <v>#DIV/0!</v>
      </c>
      <c r="G115" s="52" t="e">
        <f t="shared" si="63"/>
        <v>#DIV/0!</v>
      </c>
      <c r="H115" s="52" t="e">
        <f t="shared" si="63"/>
        <v>#DIV/0!</v>
      </c>
      <c r="I115" s="52" t="e">
        <f t="shared" si="63"/>
        <v>#DIV/0!</v>
      </c>
      <c r="J115" s="52" t="e">
        <f t="shared" si="63"/>
        <v>#DIV/0!</v>
      </c>
      <c r="K115" s="52" t="e">
        <f t="shared" si="63"/>
        <v>#DIV/0!</v>
      </c>
      <c r="L115" s="52" t="e">
        <f t="shared" si="63"/>
        <v>#DIV/0!</v>
      </c>
      <c r="M115" s="52" t="e">
        <f t="shared" si="63"/>
        <v>#DIV/0!</v>
      </c>
      <c r="N115" s="52" t="e">
        <f t="shared" si="63"/>
        <v>#DIV/0!</v>
      </c>
      <c r="O115" s="52" t="e">
        <f t="shared" si="63"/>
        <v>#DIV/0!</v>
      </c>
    </row>
    <row r="116" spans="2:15">
      <c r="B116" s="51">
        <v>3</v>
      </c>
      <c r="C116" s="52"/>
      <c r="D116" s="52" t="e">
        <f t="shared" si="63"/>
        <v>#DIV/0!</v>
      </c>
      <c r="E116" s="52" t="e">
        <f t="shared" si="63"/>
        <v>#DIV/0!</v>
      </c>
      <c r="F116" s="52" t="e">
        <f t="shared" si="63"/>
        <v>#DIV/0!</v>
      </c>
      <c r="G116" s="52" t="e">
        <f t="shared" si="63"/>
        <v>#DIV/0!</v>
      </c>
      <c r="H116" s="52" t="e">
        <f t="shared" si="63"/>
        <v>#DIV/0!</v>
      </c>
      <c r="I116" s="52" t="e">
        <f t="shared" si="63"/>
        <v>#DIV/0!</v>
      </c>
      <c r="J116" s="52" t="e">
        <f t="shared" si="63"/>
        <v>#DIV/0!</v>
      </c>
      <c r="K116" s="52" t="e">
        <f t="shared" si="63"/>
        <v>#DIV/0!</v>
      </c>
      <c r="L116" s="52" t="e">
        <f t="shared" si="63"/>
        <v>#DIV/0!</v>
      </c>
      <c r="M116" s="52" t="e">
        <f t="shared" si="63"/>
        <v>#DIV/0!</v>
      </c>
      <c r="N116" s="52" t="e">
        <f t="shared" si="63"/>
        <v>#DIV/0!</v>
      </c>
      <c r="O116" s="52" t="e">
        <f t="shared" si="63"/>
        <v>#DIV/0!</v>
      </c>
    </row>
    <row r="117" spans="2:15">
      <c r="B117" s="51">
        <v>4</v>
      </c>
      <c r="C117" s="52"/>
      <c r="D117" s="52" t="e">
        <f t="shared" si="63"/>
        <v>#DIV/0!</v>
      </c>
      <c r="E117" s="52" t="e">
        <f t="shared" si="63"/>
        <v>#DIV/0!</v>
      </c>
      <c r="F117" s="52" t="e">
        <f t="shared" si="63"/>
        <v>#DIV/0!</v>
      </c>
      <c r="G117" s="52" t="e">
        <f t="shared" si="63"/>
        <v>#DIV/0!</v>
      </c>
      <c r="H117" s="52" t="e">
        <f t="shared" si="63"/>
        <v>#DIV/0!</v>
      </c>
      <c r="I117" s="52" t="e">
        <f t="shared" si="63"/>
        <v>#DIV/0!</v>
      </c>
      <c r="J117" s="52" t="e">
        <f t="shared" si="63"/>
        <v>#DIV/0!</v>
      </c>
      <c r="K117" s="52" t="e">
        <f t="shared" si="63"/>
        <v>#DIV/0!</v>
      </c>
      <c r="L117" s="52" t="e">
        <f t="shared" si="63"/>
        <v>#DIV/0!</v>
      </c>
      <c r="M117" s="52" t="e">
        <f t="shared" si="63"/>
        <v>#DIV/0!</v>
      </c>
      <c r="N117" s="52" t="e">
        <f t="shared" si="63"/>
        <v>#DIV/0!</v>
      </c>
      <c r="O117" s="52" t="e">
        <f t="shared" si="63"/>
        <v>#DIV/0!</v>
      </c>
    </row>
    <row r="118" spans="2:15">
      <c r="B118" s="51">
        <v>5</v>
      </c>
      <c r="C118" s="52"/>
      <c r="D118" s="52" t="e">
        <f t="shared" si="63"/>
        <v>#DIV/0!</v>
      </c>
      <c r="E118" s="52" t="e">
        <f t="shared" si="63"/>
        <v>#DIV/0!</v>
      </c>
      <c r="F118" s="52" t="e">
        <f t="shared" si="63"/>
        <v>#DIV/0!</v>
      </c>
      <c r="G118" s="52" t="e">
        <f t="shared" si="63"/>
        <v>#DIV/0!</v>
      </c>
      <c r="H118" s="52" t="e">
        <f t="shared" si="63"/>
        <v>#DIV/0!</v>
      </c>
      <c r="I118" s="52" t="e">
        <f t="shared" si="63"/>
        <v>#DIV/0!</v>
      </c>
      <c r="J118" s="52" t="e">
        <f t="shared" si="63"/>
        <v>#DIV/0!</v>
      </c>
      <c r="K118" s="52" t="e">
        <f t="shared" si="63"/>
        <v>#DIV/0!</v>
      </c>
      <c r="L118" s="52" t="e">
        <f t="shared" si="63"/>
        <v>#DIV/0!</v>
      </c>
      <c r="M118" s="52" t="e">
        <f t="shared" si="63"/>
        <v>#DIV/0!</v>
      </c>
      <c r="N118" s="52" t="e">
        <f t="shared" si="63"/>
        <v>#DIV/0!</v>
      </c>
      <c r="O118" s="52" t="e">
        <f t="shared" si="63"/>
        <v>#DIV/0!</v>
      </c>
    </row>
    <row r="119" spans="2:15">
      <c r="B119" s="51">
        <v>6</v>
      </c>
      <c r="C119" s="52"/>
      <c r="D119" s="52" t="e">
        <f t="shared" si="63"/>
        <v>#DIV/0!</v>
      </c>
      <c r="E119" s="52" t="e">
        <f t="shared" si="63"/>
        <v>#DIV/0!</v>
      </c>
      <c r="F119" s="52" t="e">
        <f t="shared" si="63"/>
        <v>#DIV/0!</v>
      </c>
      <c r="G119" s="52" t="e">
        <f t="shared" si="63"/>
        <v>#DIV/0!</v>
      </c>
      <c r="H119" s="52" t="e">
        <f t="shared" si="63"/>
        <v>#DIV/0!</v>
      </c>
      <c r="I119" s="52" t="e">
        <f t="shared" si="63"/>
        <v>#DIV/0!</v>
      </c>
      <c r="J119" s="52" t="e">
        <f t="shared" si="63"/>
        <v>#DIV/0!</v>
      </c>
      <c r="K119" s="52" t="e">
        <f t="shared" si="63"/>
        <v>#DIV/0!</v>
      </c>
      <c r="L119" s="52" t="e">
        <f t="shared" si="63"/>
        <v>#DIV/0!</v>
      </c>
      <c r="M119" s="52" t="e">
        <f t="shared" si="63"/>
        <v>#DIV/0!</v>
      </c>
      <c r="N119" s="52" t="e">
        <f t="shared" si="63"/>
        <v>#DIV/0!</v>
      </c>
      <c r="O119" s="52" t="e">
        <f t="shared" si="63"/>
        <v>#DIV/0!</v>
      </c>
    </row>
    <row r="120" spans="2:15">
      <c r="B120" s="51">
        <v>7</v>
      </c>
      <c r="C120" s="52"/>
      <c r="D120" s="52" t="e">
        <f t="shared" si="63"/>
        <v>#DIV/0!</v>
      </c>
      <c r="E120" s="52" t="e">
        <f t="shared" si="63"/>
        <v>#DIV/0!</v>
      </c>
      <c r="F120" s="52" t="e">
        <f t="shared" si="63"/>
        <v>#DIV/0!</v>
      </c>
      <c r="G120" s="52" t="e">
        <f t="shared" si="63"/>
        <v>#DIV/0!</v>
      </c>
      <c r="H120" s="52" t="e">
        <f t="shared" si="63"/>
        <v>#DIV/0!</v>
      </c>
      <c r="I120" s="52" t="e">
        <f t="shared" si="63"/>
        <v>#DIV/0!</v>
      </c>
      <c r="J120" s="52" t="e">
        <f t="shared" si="63"/>
        <v>#DIV/0!</v>
      </c>
      <c r="K120" s="52" t="e">
        <f t="shared" si="63"/>
        <v>#DIV/0!</v>
      </c>
      <c r="L120" s="52" t="e">
        <f t="shared" si="63"/>
        <v>#DIV/0!</v>
      </c>
      <c r="M120" s="52" t="e">
        <f t="shared" si="63"/>
        <v>#DIV/0!</v>
      </c>
      <c r="N120" s="52" t="e">
        <f t="shared" si="63"/>
        <v>#DIV/0!</v>
      </c>
      <c r="O120" s="52" t="e">
        <f t="shared" si="63"/>
        <v>#DIV/0!</v>
      </c>
    </row>
    <row r="121" spans="2:15">
      <c r="B121" s="51">
        <v>8</v>
      </c>
      <c r="C121" s="52"/>
      <c r="D121" s="52" t="e">
        <f t="shared" si="63"/>
        <v>#DIV/0!</v>
      </c>
      <c r="E121" s="52" t="e">
        <f t="shared" si="63"/>
        <v>#DIV/0!</v>
      </c>
      <c r="F121" s="52" t="e">
        <f t="shared" si="63"/>
        <v>#DIV/0!</v>
      </c>
      <c r="G121" s="52" t="e">
        <f t="shared" si="63"/>
        <v>#DIV/0!</v>
      </c>
      <c r="H121" s="52" t="e">
        <f t="shared" si="63"/>
        <v>#DIV/0!</v>
      </c>
      <c r="I121" s="52" t="e">
        <f t="shared" si="63"/>
        <v>#DIV/0!</v>
      </c>
      <c r="J121" s="52" t="e">
        <f t="shared" si="63"/>
        <v>#DIV/0!</v>
      </c>
      <c r="K121" s="52" t="e">
        <f t="shared" si="63"/>
        <v>#DIV/0!</v>
      </c>
      <c r="L121" s="52" t="e">
        <f t="shared" si="63"/>
        <v>#DIV/0!</v>
      </c>
      <c r="M121" s="52" t="e">
        <f t="shared" si="63"/>
        <v>#DIV/0!</v>
      </c>
      <c r="N121" s="52" t="e">
        <f t="shared" si="63"/>
        <v>#DIV/0!</v>
      </c>
      <c r="O121" s="52" t="e">
        <f t="shared" si="63"/>
        <v>#DIV/0!</v>
      </c>
    </row>
    <row r="122" spans="2:15">
      <c r="B122" s="51">
        <v>9</v>
      </c>
      <c r="C122" s="52"/>
      <c r="D122" s="52" t="e">
        <f t="shared" si="63"/>
        <v>#DIV/0!</v>
      </c>
      <c r="E122" s="52" t="e">
        <f t="shared" si="63"/>
        <v>#DIV/0!</v>
      </c>
      <c r="F122" s="52" t="e">
        <f t="shared" si="63"/>
        <v>#DIV/0!</v>
      </c>
      <c r="G122" s="52" t="e">
        <f t="shared" si="63"/>
        <v>#DIV/0!</v>
      </c>
      <c r="H122" s="52" t="e">
        <f t="shared" si="63"/>
        <v>#DIV/0!</v>
      </c>
      <c r="I122" s="52" t="e">
        <f t="shared" si="63"/>
        <v>#DIV/0!</v>
      </c>
      <c r="J122" s="52" t="e">
        <f t="shared" si="63"/>
        <v>#DIV/0!</v>
      </c>
      <c r="K122" s="52" t="e">
        <f t="shared" si="63"/>
        <v>#DIV/0!</v>
      </c>
      <c r="L122" s="52" t="e">
        <f t="shared" si="63"/>
        <v>#DIV/0!</v>
      </c>
      <c r="M122" s="52" t="e">
        <f t="shared" si="63"/>
        <v>#DIV/0!</v>
      </c>
      <c r="N122" s="52" t="e">
        <f t="shared" si="63"/>
        <v>#DIV/0!</v>
      </c>
      <c r="O122" s="52" t="e">
        <f t="shared" si="63"/>
        <v>#DIV/0!</v>
      </c>
    </row>
    <row r="123" spans="2:15">
      <c r="B123" s="51">
        <v>10</v>
      </c>
      <c r="C123" s="52"/>
      <c r="D123" s="52" t="e">
        <f t="shared" si="63"/>
        <v>#DIV/0!</v>
      </c>
      <c r="E123" s="52" t="e">
        <f t="shared" si="63"/>
        <v>#DIV/0!</v>
      </c>
      <c r="F123" s="52" t="e">
        <f t="shared" si="63"/>
        <v>#DIV/0!</v>
      </c>
      <c r="G123" s="52" t="e">
        <f t="shared" si="63"/>
        <v>#DIV/0!</v>
      </c>
      <c r="H123" s="52" t="e">
        <f t="shared" si="63"/>
        <v>#DIV/0!</v>
      </c>
      <c r="I123" s="52" t="e">
        <f t="shared" si="63"/>
        <v>#DIV/0!</v>
      </c>
      <c r="J123" s="52" t="e">
        <f t="shared" si="63"/>
        <v>#DIV/0!</v>
      </c>
      <c r="K123" s="52" t="e">
        <f t="shared" si="63"/>
        <v>#DIV/0!</v>
      </c>
      <c r="L123" s="52" t="e">
        <f t="shared" si="63"/>
        <v>#DIV/0!</v>
      </c>
      <c r="M123" s="52" t="e">
        <f t="shared" si="63"/>
        <v>#DIV/0!</v>
      </c>
      <c r="N123" s="52" t="e">
        <f t="shared" si="63"/>
        <v>#DIV/0!</v>
      </c>
      <c r="O123" s="52" t="e">
        <f t="shared" si="63"/>
        <v>#DIV/0!</v>
      </c>
    </row>
    <row r="124" spans="2:15">
      <c r="B124" s="51">
        <v>11</v>
      </c>
      <c r="C124" s="52"/>
      <c r="D124" s="52" t="e">
        <f t="shared" ref="D124:O133" si="64">-D$103*D$110*HLOOKUP((D$102+$B124),$C$2:$AZ$3,2,FALSE)</f>
        <v>#DIV/0!</v>
      </c>
      <c r="E124" s="52" t="e">
        <f t="shared" si="64"/>
        <v>#DIV/0!</v>
      </c>
      <c r="F124" s="52" t="e">
        <f t="shared" si="64"/>
        <v>#DIV/0!</v>
      </c>
      <c r="G124" s="52" t="e">
        <f t="shared" si="64"/>
        <v>#DIV/0!</v>
      </c>
      <c r="H124" s="52" t="e">
        <f t="shared" si="64"/>
        <v>#DIV/0!</v>
      </c>
      <c r="I124" s="52" t="e">
        <f t="shared" si="64"/>
        <v>#DIV/0!</v>
      </c>
      <c r="J124" s="52" t="e">
        <f t="shared" si="64"/>
        <v>#DIV/0!</v>
      </c>
      <c r="K124" s="52" t="e">
        <f t="shared" si="64"/>
        <v>#DIV/0!</v>
      </c>
      <c r="L124" s="52" t="e">
        <f t="shared" si="64"/>
        <v>#DIV/0!</v>
      </c>
      <c r="M124" s="52" t="e">
        <f t="shared" si="64"/>
        <v>#DIV/0!</v>
      </c>
      <c r="N124" s="52" t="e">
        <f t="shared" si="64"/>
        <v>#DIV/0!</v>
      </c>
      <c r="O124" s="52" t="e">
        <f t="shared" si="64"/>
        <v>#DIV/0!</v>
      </c>
    </row>
    <row r="125" spans="2:15">
      <c r="B125" s="51">
        <v>12</v>
      </c>
      <c r="C125" s="52"/>
      <c r="D125" s="52" t="e">
        <f t="shared" si="64"/>
        <v>#DIV/0!</v>
      </c>
      <c r="E125" s="52" t="e">
        <f t="shared" si="64"/>
        <v>#DIV/0!</v>
      </c>
      <c r="F125" s="52" t="e">
        <f t="shared" si="64"/>
        <v>#DIV/0!</v>
      </c>
      <c r="G125" s="52" t="e">
        <f t="shared" si="64"/>
        <v>#DIV/0!</v>
      </c>
      <c r="H125" s="52" t="e">
        <f t="shared" si="64"/>
        <v>#DIV/0!</v>
      </c>
      <c r="I125" s="52" t="e">
        <f t="shared" si="64"/>
        <v>#DIV/0!</v>
      </c>
      <c r="J125" s="52" t="e">
        <f t="shared" si="64"/>
        <v>#DIV/0!</v>
      </c>
      <c r="K125" s="52" t="e">
        <f t="shared" si="64"/>
        <v>#DIV/0!</v>
      </c>
      <c r="L125" s="52" t="e">
        <f t="shared" si="64"/>
        <v>#DIV/0!</v>
      </c>
      <c r="M125" s="52" t="e">
        <f t="shared" si="64"/>
        <v>#DIV/0!</v>
      </c>
      <c r="N125" s="52" t="e">
        <f t="shared" si="64"/>
        <v>#DIV/0!</v>
      </c>
      <c r="O125" s="52" t="e">
        <f t="shared" si="64"/>
        <v>#DIV/0!</v>
      </c>
    </row>
    <row r="126" spans="2:15">
      <c r="B126" s="51">
        <v>13</v>
      </c>
      <c r="C126" s="52"/>
      <c r="D126" s="52" t="e">
        <f t="shared" si="64"/>
        <v>#DIV/0!</v>
      </c>
      <c r="E126" s="52" t="e">
        <f t="shared" si="64"/>
        <v>#DIV/0!</v>
      </c>
      <c r="F126" s="52" t="e">
        <f t="shared" si="64"/>
        <v>#DIV/0!</v>
      </c>
      <c r="G126" s="52" t="e">
        <f t="shared" si="64"/>
        <v>#DIV/0!</v>
      </c>
      <c r="H126" s="52" t="e">
        <f t="shared" si="64"/>
        <v>#DIV/0!</v>
      </c>
      <c r="I126" s="52" t="e">
        <f t="shared" si="64"/>
        <v>#DIV/0!</v>
      </c>
      <c r="J126" s="52" t="e">
        <f t="shared" si="64"/>
        <v>#DIV/0!</v>
      </c>
      <c r="K126" s="52" t="e">
        <f t="shared" si="64"/>
        <v>#DIV/0!</v>
      </c>
      <c r="L126" s="52" t="e">
        <f t="shared" si="64"/>
        <v>#DIV/0!</v>
      </c>
      <c r="M126" s="52" t="e">
        <f t="shared" si="64"/>
        <v>#DIV/0!</v>
      </c>
      <c r="N126" s="52" t="e">
        <f t="shared" si="64"/>
        <v>#DIV/0!</v>
      </c>
      <c r="O126" s="52" t="e">
        <f t="shared" si="64"/>
        <v>#DIV/0!</v>
      </c>
    </row>
    <row r="127" spans="2:15">
      <c r="B127" s="51">
        <v>14</v>
      </c>
      <c r="C127" s="52"/>
      <c r="D127" s="52" t="e">
        <f t="shared" si="64"/>
        <v>#DIV/0!</v>
      </c>
      <c r="E127" s="52" t="e">
        <f t="shared" si="64"/>
        <v>#DIV/0!</v>
      </c>
      <c r="F127" s="52" t="e">
        <f t="shared" si="64"/>
        <v>#DIV/0!</v>
      </c>
      <c r="G127" s="52" t="e">
        <f t="shared" si="64"/>
        <v>#DIV/0!</v>
      </c>
      <c r="H127" s="52" t="e">
        <f t="shared" si="64"/>
        <v>#DIV/0!</v>
      </c>
      <c r="I127" s="52" t="e">
        <f t="shared" si="64"/>
        <v>#DIV/0!</v>
      </c>
      <c r="J127" s="52" t="e">
        <f t="shared" si="64"/>
        <v>#DIV/0!</v>
      </c>
      <c r="K127" s="52" t="e">
        <f t="shared" si="64"/>
        <v>#DIV/0!</v>
      </c>
      <c r="L127" s="52" t="e">
        <f t="shared" si="64"/>
        <v>#DIV/0!</v>
      </c>
      <c r="M127" s="52" t="e">
        <f t="shared" si="64"/>
        <v>#DIV/0!</v>
      </c>
      <c r="N127" s="52" t="e">
        <f t="shared" si="64"/>
        <v>#DIV/0!</v>
      </c>
      <c r="O127" s="52" t="e">
        <f t="shared" si="64"/>
        <v>#DIV/0!</v>
      </c>
    </row>
    <row r="128" spans="2:15">
      <c r="B128" s="51">
        <v>15</v>
      </c>
      <c r="C128" s="52"/>
      <c r="D128" s="52" t="e">
        <f t="shared" si="64"/>
        <v>#DIV/0!</v>
      </c>
      <c r="E128" s="52" t="e">
        <f t="shared" si="64"/>
        <v>#DIV/0!</v>
      </c>
      <c r="F128" s="52" t="e">
        <f t="shared" si="64"/>
        <v>#DIV/0!</v>
      </c>
      <c r="G128" s="52" t="e">
        <f t="shared" si="64"/>
        <v>#DIV/0!</v>
      </c>
      <c r="H128" s="52" t="e">
        <f t="shared" si="64"/>
        <v>#DIV/0!</v>
      </c>
      <c r="I128" s="52" t="e">
        <f t="shared" si="64"/>
        <v>#DIV/0!</v>
      </c>
      <c r="J128" s="52" t="e">
        <f t="shared" si="64"/>
        <v>#DIV/0!</v>
      </c>
      <c r="K128" s="52" t="e">
        <f t="shared" si="64"/>
        <v>#DIV/0!</v>
      </c>
      <c r="L128" s="52" t="e">
        <f t="shared" si="64"/>
        <v>#DIV/0!</v>
      </c>
      <c r="M128" s="52" t="e">
        <f t="shared" si="64"/>
        <v>#DIV/0!</v>
      </c>
      <c r="N128" s="52" t="e">
        <f t="shared" si="64"/>
        <v>#DIV/0!</v>
      </c>
      <c r="O128" s="52" t="e">
        <f t="shared" si="64"/>
        <v>#DIV/0!</v>
      </c>
    </row>
    <row r="129" spans="2:15">
      <c r="B129" s="51">
        <v>16</v>
      </c>
      <c r="C129" s="52"/>
      <c r="D129" s="52" t="e">
        <f t="shared" si="64"/>
        <v>#DIV/0!</v>
      </c>
      <c r="E129" s="52" t="e">
        <f t="shared" si="64"/>
        <v>#DIV/0!</v>
      </c>
      <c r="F129" s="52" t="e">
        <f t="shared" si="64"/>
        <v>#DIV/0!</v>
      </c>
      <c r="G129" s="52" t="e">
        <f t="shared" si="64"/>
        <v>#DIV/0!</v>
      </c>
      <c r="H129" s="52" t="e">
        <f t="shared" si="64"/>
        <v>#DIV/0!</v>
      </c>
      <c r="I129" s="52" t="e">
        <f t="shared" si="64"/>
        <v>#DIV/0!</v>
      </c>
      <c r="J129" s="52" t="e">
        <f t="shared" si="64"/>
        <v>#DIV/0!</v>
      </c>
      <c r="K129" s="52" t="e">
        <f t="shared" si="64"/>
        <v>#DIV/0!</v>
      </c>
      <c r="L129" s="52" t="e">
        <f t="shared" si="64"/>
        <v>#DIV/0!</v>
      </c>
      <c r="M129" s="52" t="e">
        <f t="shared" si="64"/>
        <v>#DIV/0!</v>
      </c>
      <c r="N129" s="52" t="e">
        <f t="shared" si="64"/>
        <v>#DIV/0!</v>
      </c>
      <c r="O129" s="52" t="e">
        <f t="shared" si="64"/>
        <v>#DIV/0!</v>
      </c>
    </row>
    <row r="130" spans="2:15">
      <c r="B130" s="51">
        <v>17</v>
      </c>
      <c r="C130" s="52"/>
      <c r="D130" s="52" t="e">
        <f t="shared" si="64"/>
        <v>#DIV/0!</v>
      </c>
      <c r="E130" s="52" t="e">
        <f t="shared" si="64"/>
        <v>#DIV/0!</v>
      </c>
      <c r="F130" s="52" t="e">
        <f t="shared" si="64"/>
        <v>#DIV/0!</v>
      </c>
      <c r="G130" s="52" t="e">
        <f t="shared" si="64"/>
        <v>#DIV/0!</v>
      </c>
      <c r="H130" s="52" t="e">
        <f t="shared" si="64"/>
        <v>#DIV/0!</v>
      </c>
      <c r="I130" s="52" t="e">
        <f t="shared" si="64"/>
        <v>#DIV/0!</v>
      </c>
      <c r="J130" s="52" t="e">
        <f t="shared" si="64"/>
        <v>#DIV/0!</v>
      </c>
      <c r="K130" s="52" t="e">
        <f t="shared" si="64"/>
        <v>#DIV/0!</v>
      </c>
      <c r="L130" s="52" t="e">
        <f t="shared" si="64"/>
        <v>#DIV/0!</v>
      </c>
      <c r="M130" s="52" t="e">
        <f t="shared" si="64"/>
        <v>#DIV/0!</v>
      </c>
      <c r="N130" s="52" t="e">
        <f t="shared" si="64"/>
        <v>#DIV/0!</v>
      </c>
      <c r="O130" s="52" t="e">
        <f t="shared" si="64"/>
        <v>#DIV/0!</v>
      </c>
    </row>
    <row r="131" spans="2:15">
      <c r="B131" s="51">
        <v>18</v>
      </c>
      <c r="C131" s="52"/>
      <c r="D131" s="52" t="e">
        <f t="shared" si="64"/>
        <v>#DIV/0!</v>
      </c>
      <c r="E131" s="52" t="e">
        <f t="shared" si="64"/>
        <v>#DIV/0!</v>
      </c>
      <c r="F131" s="52" t="e">
        <f t="shared" si="64"/>
        <v>#DIV/0!</v>
      </c>
      <c r="G131" s="52" t="e">
        <f t="shared" si="64"/>
        <v>#DIV/0!</v>
      </c>
      <c r="H131" s="52" t="e">
        <f t="shared" si="64"/>
        <v>#DIV/0!</v>
      </c>
      <c r="I131" s="52" t="e">
        <f t="shared" si="64"/>
        <v>#DIV/0!</v>
      </c>
      <c r="J131" s="52" t="e">
        <f t="shared" si="64"/>
        <v>#DIV/0!</v>
      </c>
      <c r="K131" s="52" t="e">
        <f t="shared" si="64"/>
        <v>#DIV/0!</v>
      </c>
      <c r="L131" s="52" t="e">
        <f t="shared" si="64"/>
        <v>#DIV/0!</v>
      </c>
      <c r="M131" s="52" t="e">
        <f t="shared" si="64"/>
        <v>#DIV/0!</v>
      </c>
      <c r="N131" s="52" t="e">
        <f t="shared" si="64"/>
        <v>#DIV/0!</v>
      </c>
      <c r="O131" s="52" t="e">
        <f t="shared" si="64"/>
        <v>#DIV/0!</v>
      </c>
    </row>
    <row r="132" spans="2:15">
      <c r="B132" s="51">
        <v>19</v>
      </c>
      <c r="C132" s="52"/>
      <c r="D132" s="52" t="e">
        <f t="shared" si="64"/>
        <v>#DIV/0!</v>
      </c>
      <c r="E132" s="52" t="e">
        <f t="shared" si="64"/>
        <v>#DIV/0!</v>
      </c>
      <c r="F132" s="52" t="e">
        <f t="shared" si="64"/>
        <v>#DIV/0!</v>
      </c>
      <c r="G132" s="52" t="e">
        <f t="shared" si="64"/>
        <v>#DIV/0!</v>
      </c>
      <c r="H132" s="52" t="e">
        <f t="shared" si="64"/>
        <v>#DIV/0!</v>
      </c>
      <c r="I132" s="52" t="e">
        <f t="shared" si="64"/>
        <v>#DIV/0!</v>
      </c>
      <c r="J132" s="52" t="e">
        <f t="shared" si="64"/>
        <v>#DIV/0!</v>
      </c>
      <c r="K132" s="52" t="e">
        <f t="shared" si="64"/>
        <v>#DIV/0!</v>
      </c>
      <c r="L132" s="52" t="e">
        <f t="shared" si="64"/>
        <v>#DIV/0!</v>
      </c>
      <c r="M132" s="52" t="e">
        <f t="shared" si="64"/>
        <v>#DIV/0!</v>
      </c>
      <c r="N132" s="52" t="e">
        <f t="shared" si="64"/>
        <v>#DIV/0!</v>
      </c>
      <c r="O132" s="52" t="e">
        <f t="shared" si="64"/>
        <v>#DIV/0!</v>
      </c>
    </row>
    <row r="133" spans="2:15">
      <c r="B133" s="51">
        <v>20</v>
      </c>
      <c r="C133" s="52"/>
      <c r="D133" s="52" t="e">
        <f t="shared" si="64"/>
        <v>#DIV/0!</v>
      </c>
      <c r="E133" s="52" t="e">
        <f t="shared" si="64"/>
        <v>#DIV/0!</v>
      </c>
      <c r="F133" s="52" t="e">
        <f t="shared" si="64"/>
        <v>#DIV/0!</v>
      </c>
      <c r="G133" s="52" t="e">
        <f t="shared" si="64"/>
        <v>#DIV/0!</v>
      </c>
      <c r="H133" s="52" t="e">
        <f t="shared" si="64"/>
        <v>#DIV/0!</v>
      </c>
      <c r="I133" s="52" t="e">
        <f t="shared" si="64"/>
        <v>#DIV/0!</v>
      </c>
      <c r="J133" s="52" t="e">
        <f t="shared" si="64"/>
        <v>#DIV/0!</v>
      </c>
      <c r="K133" s="52" t="e">
        <f t="shared" si="64"/>
        <v>#DIV/0!</v>
      </c>
      <c r="L133" s="52" t="e">
        <f t="shared" si="64"/>
        <v>#DIV/0!</v>
      </c>
      <c r="M133" s="52" t="e">
        <f t="shared" si="64"/>
        <v>#DIV/0!</v>
      </c>
      <c r="N133" s="52" t="e">
        <f t="shared" si="64"/>
        <v>#DIV/0!</v>
      </c>
      <c r="O133" s="52" t="e">
        <f t="shared" si="64"/>
        <v>#DIV/0!</v>
      </c>
    </row>
    <row r="134" spans="2:15">
      <c r="B134" s="51">
        <v>21</v>
      </c>
      <c r="C134" s="52"/>
      <c r="D134" s="52" t="e">
        <f t="shared" ref="D134:O143" si="65">-D$103*D$110*HLOOKUP((D$102+$B134),$C$2:$AZ$3,2,FALSE)</f>
        <v>#DIV/0!</v>
      </c>
      <c r="E134" s="52" t="e">
        <f t="shared" si="65"/>
        <v>#DIV/0!</v>
      </c>
      <c r="F134" s="52" t="e">
        <f t="shared" si="65"/>
        <v>#DIV/0!</v>
      </c>
      <c r="G134" s="52" t="e">
        <f t="shared" si="65"/>
        <v>#DIV/0!</v>
      </c>
      <c r="H134" s="52" t="e">
        <f t="shared" si="65"/>
        <v>#DIV/0!</v>
      </c>
      <c r="I134" s="52" t="e">
        <f t="shared" si="65"/>
        <v>#DIV/0!</v>
      </c>
      <c r="J134" s="52" t="e">
        <f t="shared" si="65"/>
        <v>#DIV/0!</v>
      </c>
      <c r="K134" s="52" t="e">
        <f t="shared" si="65"/>
        <v>#DIV/0!</v>
      </c>
      <c r="L134" s="52" t="e">
        <f t="shared" si="65"/>
        <v>#DIV/0!</v>
      </c>
      <c r="M134" s="52" t="e">
        <f t="shared" si="65"/>
        <v>#DIV/0!</v>
      </c>
      <c r="N134" s="52" t="e">
        <f t="shared" si="65"/>
        <v>#DIV/0!</v>
      </c>
      <c r="O134" s="52" t="e">
        <f t="shared" si="65"/>
        <v>#DIV/0!</v>
      </c>
    </row>
    <row r="135" spans="2:15">
      <c r="B135" s="51">
        <v>22</v>
      </c>
      <c r="C135" s="52"/>
      <c r="D135" s="52" t="e">
        <f t="shared" si="65"/>
        <v>#DIV/0!</v>
      </c>
      <c r="E135" s="52" t="e">
        <f t="shared" si="65"/>
        <v>#DIV/0!</v>
      </c>
      <c r="F135" s="52" t="e">
        <f t="shared" si="65"/>
        <v>#DIV/0!</v>
      </c>
      <c r="G135" s="52" t="e">
        <f t="shared" si="65"/>
        <v>#DIV/0!</v>
      </c>
      <c r="H135" s="52" t="e">
        <f t="shared" si="65"/>
        <v>#DIV/0!</v>
      </c>
      <c r="I135" s="52" t="e">
        <f t="shared" si="65"/>
        <v>#DIV/0!</v>
      </c>
      <c r="J135" s="52" t="e">
        <f t="shared" si="65"/>
        <v>#DIV/0!</v>
      </c>
      <c r="K135" s="52" t="e">
        <f t="shared" si="65"/>
        <v>#DIV/0!</v>
      </c>
      <c r="L135" s="52" t="e">
        <f t="shared" si="65"/>
        <v>#DIV/0!</v>
      </c>
      <c r="M135" s="52" t="e">
        <f t="shared" si="65"/>
        <v>#DIV/0!</v>
      </c>
      <c r="N135" s="52" t="e">
        <f t="shared" si="65"/>
        <v>#DIV/0!</v>
      </c>
      <c r="O135" s="52" t="e">
        <f t="shared" si="65"/>
        <v>#DIV/0!</v>
      </c>
    </row>
    <row r="136" spans="2:15">
      <c r="B136" s="51">
        <v>23</v>
      </c>
      <c r="C136" s="52"/>
      <c r="D136" s="52" t="e">
        <f t="shared" si="65"/>
        <v>#DIV/0!</v>
      </c>
      <c r="E136" s="52" t="e">
        <f t="shared" si="65"/>
        <v>#DIV/0!</v>
      </c>
      <c r="F136" s="52" t="e">
        <f t="shared" si="65"/>
        <v>#DIV/0!</v>
      </c>
      <c r="G136" s="52" t="e">
        <f t="shared" si="65"/>
        <v>#DIV/0!</v>
      </c>
      <c r="H136" s="52" t="e">
        <f t="shared" si="65"/>
        <v>#DIV/0!</v>
      </c>
      <c r="I136" s="52" t="e">
        <f t="shared" si="65"/>
        <v>#DIV/0!</v>
      </c>
      <c r="J136" s="52" t="e">
        <f t="shared" si="65"/>
        <v>#DIV/0!</v>
      </c>
      <c r="K136" s="52" t="e">
        <f t="shared" si="65"/>
        <v>#DIV/0!</v>
      </c>
      <c r="L136" s="52" t="e">
        <f t="shared" si="65"/>
        <v>#DIV/0!</v>
      </c>
      <c r="M136" s="52" t="e">
        <f t="shared" si="65"/>
        <v>#DIV/0!</v>
      </c>
      <c r="N136" s="52" t="e">
        <f t="shared" si="65"/>
        <v>#DIV/0!</v>
      </c>
      <c r="O136" s="52" t="e">
        <f t="shared" si="65"/>
        <v>#DIV/0!</v>
      </c>
    </row>
    <row r="137" spans="2:15">
      <c r="B137" s="51">
        <v>24</v>
      </c>
      <c r="C137" s="52"/>
      <c r="D137" s="52" t="e">
        <f t="shared" si="65"/>
        <v>#DIV/0!</v>
      </c>
      <c r="E137" s="52" t="e">
        <f t="shared" si="65"/>
        <v>#DIV/0!</v>
      </c>
      <c r="F137" s="52" t="e">
        <f t="shared" si="65"/>
        <v>#DIV/0!</v>
      </c>
      <c r="G137" s="52" t="e">
        <f t="shared" si="65"/>
        <v>#DIV/0!</v>
      </c>
      <c r="H137" s="52" t="e">
        <f t="shared" si="65"/>
        <v>#DIV/0!</v>
      </c>
      <c r="I137" s="52" t="e">
        <f t="shared" si="65"/>
        <v>#DIV/0!</v>
      </c>
      <c r="J137" s="52" t="e">
        <f t="shared" si="65"/>
        <v>#DIV/0!</v>
      </c>
      <c r="K137" s="52" t="e">
        <f t="shared" si="65"/>
        <v>#DIV/0!</v>
      </c>
      <c r="L137" s="52" t="e">
        <f t="shared" si="65"/>
        <v>#DIV/0!</v>
      </c>
      <c r="M137" s="52" t="e">
        <f t="shared" si="65"/>
        <v>#DIV/0!</v>
      </c>
      <c r="N137" s="52" t="e">
        <f t="shared" si="65"/>
        <v>#DIV/0!</v>
      </c>
      <c r="O137" s="52" t="e">
        <f t="shared" si="65"/>
        <v>#DIV/0!</v>
      </c>
    </row>
    <row r="138" spans="2:15">
      <c r="B138" s="51">
        <v>25</v>
      </c>
      <c r="C138" s="52"/>
      <c r="D138" s="52" t="e">
        <f t="shared" si="65"/>
        <v>#DIV/0!</v>
      </c>
      <c r="E138" s="52" t="e">
        <f t="shared" si="65"/>
        <v>#DIV/0!</v>
      </c>
      <c r="F138" s="52" t="e">
        <f t="shared" si="65"/>
        <v>#DIV/0!</v>
      </c>
      <c r="G138" s="52" t="e">
        <f t="shared" si="65"/>
        <v>#DIV/0!</v>
      </c>
      <c r="H138" s="52" t="e">
        <f t="shared" si="65"/>
        <v>#DIV/0!</v>
      </c>
      <c r="I138" s="52" t="e">
        <f t="shared" si="65"/>
        <v>#DIV/0!</v>
      </c>
      <c r="J138" s="52" t="e">
        <f t="shared" si="65"/>
        <v>#DIV/0!</v>
      </c>
      <c r="K138" s="52" t="e">
        <f t="shared" si="65"/>
        <v>#DIV/0!</v>
      </c>
      <c r="L138" s="52" t="e">
        <f t="shared" si="65"/>
        <v>#DIV/0!</v>
      </c>
      <c r="M138" s="52" t="e">
        <f t="shared" si="65"/>
        <v>#DIV/0!</v>
      </c>
      <c r="N138" s="52" t="e">
        <f t="shared" si="65"/>
        <v>#DIV/0!</v>
      </c>
      <c r="O138" s="52" t="e">
        <f t="shared" si="65"/>
        <v>#DIV/0!</v>
      </c>
    </row>
    <row r="139" spans="2:15">
      <c r="B139" s="51">
        <v>26</v>
      </c>
      <c r="C139" s="52"/>
      <c r="D139" s="52" t="e">
        <f t="shared" si="65"/>
        <v>#DIV/0!</v>
      </c>
      <c r="E139" s="52" t="e">
        <f t="shared" si="65"/>
        <v>#DIV/0!</v>
      </c>
      <c r="F139" s="52" t="e">
        <f t="shared" si="65"/>
        <v>#DIV/0!</v>
      </c>
      <c r="G139" s="52" t="e">
        <f t="shared" si="65"/>
        <v>#DIV/0!</v>
      </c>
      <c r="H139" s="52" t="e">
        <f t="shared" si="65"/>
        <v>#DIV/0!</v>
      </c>
      <c r="I139" s="52" t="e">
        <f t="shared" si="65"/>
        <v>#DIV/0!</v>
      </c>
      <c r="J139" s="52" t="e">
        <f t="shared" si="65"/>
        <v>#DIV/0!</v>
      </c>
      <c r="K139" s="52" t="e">
        <f t="shared" si="65"/>
        <v>#DIV/0!</v>
      </c>
      <c r="L139" s="52" t="e">
        <f t="shared" si="65"/>
        <v>#DIV/0!</v>
      </c>
      <c r="M139" s="52" t="e">
        <f t="shared" si="65"/>
        <v>#DIV/0!</v>
      </c>
      <c r="N139" s="52" t="e">
        <f t="shared" si="65"/>
        <v>#DIV/0!</v>
      </c>
      <c r="O139" s="52" t="e">
        <f t="shared" si="65"/>
        <v>#DIV/0!</v>
      </c>
    </row>
    <row r="140" spans="2:15">
      <c r="B140" s="51">
        <v>27</v>
      </c>
      <c r="C140" s="52"/>
      <c r="D140" s="52" t="e">
        <f t="shared" si="65"/>
        <v>#DIV/0!</v>
      </c>
      <c r="E140" s="52" t="e">
        <f t="shared" si="65"/>
        <v>#DIV/0!</v>
      </c>
      <c r="F140" s="52" t="e">
        <f t="shared" si="65"/>
        <v>#DIV/0!</v>
      </c>
      <c r="G140" s="52" t="e">
        <f t="shared" si="65"/>
        <v>#DIV/0!</v>
      </c>
      <c r="H140" s="52" t="e">
        <f t="shared" si="65"/>
        <v>#DIV/0!</v>
      </c>
      <c r="I140" s="52" t="e">
        <f t="shared" si="65"/>
        <v>#DIV/0!</v>
      </c>
      <c r="J140" s="52" t="e">
        <f t="shared" si="65"/>
        <v>#DIV/0!</v>
      </c>
      <c r="K140" s="52" t="e">
        <f t="shared" si="65"/>
        <v>#DIV/0!</v>
      </c>
      <c r="L140" s="52" t="e">
        <f t="shared" si="65"/>
        <v>#DIV/0!</v>
      </c>
      <c r="M140" s="52" t="e">
        <f t="shared" si="65"/>
        <v>#DIV/0!</v>
      </c>
      <c r="N140" s="52" t="e">
        <f t="shared" si="65"/>
        <v>#DIV/0!</v>
      </c>
      <c r="O140" s="52" t="e">
        <f t="shared" si="65"/>
        <v>#DIV/0!</v>
      </c>
    </row>
    <row r="141" spans="2:15">
      <c r="B141" s="51">
        <v>28</v>
      </c>
      <c r="C141" s="52"/>
      <c r="D141" s="52" t="e">
        <f t="shared" si="65"/>
        <v>#DIV/0!</v>
      </c>
      <c r="E141" s="52" t="e">
        <f t="shared" si="65"/>
        <v>#DIV/0!</v>
      </c>
      <c r="F141" s="52" t="e">
        <f t="shared" si="65"/>
        <v>#DIV/0!</v>
      </c>
      <c r="G141" s="52" t="e">
        <f t="shared" si="65"/>
        <v>#DIV/0!</v>
      </c>
      <c r="H141" s="52" t="e">
        <f t="shared" si="65"/>
        <v>#DIV/0!</v>
      </c>
      <c r="I141" s="52" t="e">
        <f t="shared" si="65"/>
        <v>#DIV/0!</v>
      </c>
      <c r="J141" s="52" t="e">
        <f t="shared" si="65"/>
        <v>#DIV/0!</v>
      </c>
      <c r="K141" s="52" t="e">
        <f t="shared" si="65"/>
        <v>#DIV/0!</v>
      </c>
      <c r="L141" s="52" t="e">
        <f t="shared" si="65"/>
        <v>#DIV/0!</v>
      </c>
      <c r="M141" s="52" t="e">
        <f t="shared" si="65"/>
        <v>#DIV/0!</v>
      </c>
      <c r="N141" s="52" t="e">
        <f t="shared" si="65"/>
        <v>#DIV/0!</v>
      </c>
      <c r="O141" s="52" t="e">
        <f t="shared" si="65"/>
        <v>#DIV/0!</v>
      </c>
    </row>
    <row r="142" spans="2:15">
      <c r="B142" s="51">
        <v>29</v>
      </c>
      <c r="C142" s="52"/>
      <c r="D142" s="52" t="e">
        <f t="shared" si="65"/>
        <v>#DIV/0!</v>
      </c>
      <c r="E142" s="52" t="e">
        <f t="shared" si="65"/>
        <v>#DIV/0!</v>
      </c>
      <c r="F142" s="52" t="e">
        <f t="shared" si="65"/>
        <v>#DIV/0!</v>
      </c>
      <c r="G142" s="52" t="e">
        <f t="shared" si="65"/>
        <v>#DIV/0!</v>
      </c>
      <c r="H142" s="52" t="e">
        <f t="shared" si="65"/>
        <v>#DIV/0!</v>
      </c>
      <c r="I142" s="52" t="e">
        <f t="shared" si="65"/>
        <v>#DIV/0!</v>
      </c>
      <c r="J142" s="52" t="e">
        <f t="shared" si="65"/>
        <v>#DIV/0!</v>
      </c>
      <c r="K142" s="52" t="e">
        <f t="shared" si="65"/>
        <v>#DIV/0!</v>
      </c>
      <c r="L142" s="52" t="e">
        <f t="shared" si="65"/>
        <v>#DIV/0!</v>
      </c>
      <c r="M142" s="52" t="e">
        <f t="shared" si="65"/>
        <v>#DIV/0!</v>
      </c>
      <c r="N142" s="52" t="e">
        <f t="shared" si="65"/>
        <v>#DIV/0!</v>
      </c>
      <c r="O142" s="52" t="e">
        <f t="shared" si="65"/>
        <v>#DIV/0!</v>
      </c>
    </row>
    <row r="143" spans="2:15">
      <c r="B143" s="51">
        <v>30</v>
      </c>
      <c r="C143" s="52"/>
      <c r="D143" s="52" t="e">
        <f t="shared" si="65"/>
        <v>#DIV/0!</v>
      </c>
      <c r="E143" s="52" t="e">
        <f t="shared" si="65"/>
        <v>#DIV/0!</v>
      </c>
      <c r="F143" s="52" t="e">
        <f t="shared" si="65"/>
        <v>#DIV/0!</v>
      </c>
      <c r="G143" s="52" t="e">
        <f t="shared" si="65"/>
        <v>#DIV/0!</v>
      </c>
      <c r="H143" s="52" t="e">
        <f t="shared" si="65"/>
        <v>#DIV/0!</v>
      </c>
      <c r="I143" s="52" t="e">
        <f t="shared" si="65"/>
        <v>#DIV/0!</v>
      </c>
      <c r="J143" s="52" t="e">
        <f t="shared" si="65"/>
        <v>#DIV/0!</v>
      </c>
      <c r="K143" s="52" t="e">
        <f t="shared" si="65"/>
        <v>#DIV/0!</v>
      </c>
      <c r="L143" s="52" t="e">
        <f t="shared" si="65"/>
        <v>#DIV/0!</v>
      </c>
      <c r="M143" s="52" t="e">
        <f t="shared" si="65"/>
        <v>#DIV/0!</v>
      </c>
      <c r="N143" s="52" t="e">
        <f t="shared" si="65"/>
        <v>#DIV/0!</v>
      </c>
      <c r="O143" s="52" t="e">
        <f t="shared" si="65"/>
        <v>#DIV/0!</v>
      </c>
    </row>
    <row r="144" spans="2:15">
      <c r="C144" s="52"/>
      <c r="D144" s="52"/>
      <c r="E144" s="52"/>
      <c r="F144" s="52"/>
      <c r="G144" s="52"/>
      <c r="H144" s="52"/>
      <c r="I144" s="52"/>
      <c r="J144" s="52"/>
      <c r="K144" s="52"/>
      <c r="L144" s="52"/>
      <c r="M144" s="52"/>
      <c r="N144" s="52"/>
      <c r="O144" s="52"/>
    </row>
    <row r="145" spans="2:18" ht="16">
      <c r="B145" s="51" t="s">
        <v>113</v>
      </c>
      <c r="C145" s="52"/>
      <c r="D145" s="52">
        <f>C114</f>
        <v>0</v>
      </c>
      <c r="E145" s="52" t="e">
        <f>D114+C115</f>
        <v>#DIV/0!</v>
      </c>
      <c r="F145" s="52" t="e">
        <f>E114+D115+C116</f>
        <v>#DIV/0!</v>
      </c>
      <c r="G145" s="52" t="e">
        <f>F114+E115+D116+C117</f>
        <v>#DIV/0!</v>
      </c>
      <c r="H145" s="52" t="e">
        <f>G114+F115+E116+D117+C118</f>
        <v>#DIV/0!</v>
      </c>
      <c r="I145" s="52" t="e">
        <f>H114+G115+F116+E117+D118+C119</f>
        <v>#DIV/0!</v>
      </c>
      <c r="J145" s="52" t="e">
        <f>I114+H115+G116+F117+E118+D119+C120</f>
        <v>#DIV/0!</v>
      </c>
      <c r="K145" s="52" t="e">
        <f>J114+I115+H116+G117+F118+E119+D120+C121</f>
        <v>#DIV/0!</v>
      </c>
      <c r="L145" s="52" t="e">
        <f>K114+J115+I116+H117+G118+F119+E120+D121+C122</f>
        <v>#DIV/0!</v>
      </c>
      <c r="M145" s="52" t="e">
        <f>L114+K115+J116+I117+H118+G119+F120+E121+D122+C123</f>
        <v>#DIV/0!</v>
      </c>
      <c r="N145" s="52" t="e">
        <f>M114+L115+K116+J117+I118+H119+G120+F121+E122+D123+C124</f>
        <v>#DIV/0!</v>
      </c>
      <c r="O145" s="52" t="e">
        <f>N114+M115+L116+K117+J118+I119+H120+G121+F122+E123+D124</f>
        <v>#DIV/0!</v>
      </c>
      <c r="P145" s="52"/>
      <c r="Q145" s="52"/>
      <c r="R145" s="52"/>
    </row>
    <row r="146" spans="2:18" ht="16">
      <c r="B146" s="51" t="s">
        <v>114</v>
      </c>
      <c r="C146" s="52"/>
      <c r="D146" s="52"/>
      <c r="E146" s="52"/>
      <c r="F146" s="52"/>
      <c r="G146" s="52"/>
      <c r="H146" s="52"/>
      <c r="I146" s="52"/>
      <c r="J146" s="52"/>
      <c r="K146" s="52"/>
      <c r="L146" s="52"/>
      <c r="M146" s="52"/>
      <c r="N146" s="52"/>
      <c r="O146" s="52"/>
      <c r="P146" s="52"/>
      <c r="Q146" s="52"/>
      <c r="R146" s="52"/>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111ED-D2DD-AE40-B8DE-01FC7E3D0FA2}">
  <sheetPr codeName="Sheet4">
    <tabColor theme="9" tint="0.59999389629810485"/>
  </sheetPr>
  <dimension ref="A1:Q96"/>
  <sheetViews>
    <sheetView zoomScale="90" zoomScaleNormal="90" workbookViewId="0">
      <pane xSplit="4" ySplit="3" topLeftCell="E4" activePane="bottomRight" state="frozen"/>
      <selection activeCell="C26" sqref="C26"/>
      <selection pane="topRight" activeCell="C26" sqref="C26"/>
      <selection pane="bottomLeft" activeCell="C26" sqref="C26"/>
      <selection pane="bottomRight" activeCell="G4" sqref="G4"/>
    </sheetView>
  </sheetViews>
  <sheetFormatPr baseColWidth="10" defaultColWidth="10.83203125" defaultRowHeight="15"/>
  <cols>
    <col min="1" max="1" width="4.6640625" style="81" customWidth="1"/>
    <col min="2" max="2" width="16" style="81" customWidth="1"/>
    <col min="3" max="3" width="11.83203125" style="81" customWidth="1"/>
    <col min="4" max="4" width="39.1640625" style="37" customWidth="1"/>
    <col min="5" max="5" width="10.5" style="37" customWidth="1"/>
    <col min="6" max="17" width="9.1640625" style="37" customWidth="1"/>
    <col min="18" max="16384" width="10.83203125" style="37"/>
  </cols>
  <sheetData>
    <row r="1" spans="1:17" ht="28">
      <c r="B1" s="37"/>
      <c r="C1" s="37"/>
      <c r="D1" s="510" t="s">
        <v>319</v>
      </c>
      <c r="E1" s="543" t="s">
        <v>315</v>
      </c>
      <c r="F1" s="543" t="s">
        <v>285</v>
      </c>
      <c r="G1" s="543" t="s">
        <v>317</v>
      </c>
      <c r="H1" s="543" t="s">
        <v>318</v>
      </c>
      <c r="I1" s="728" t="s">
        <v>320</v>
      </c>
      <c r="J1" s="729"/>
    </row>
    <row r="2" spans="1:17" ht="16">
      <c r="B2" s="686"/>
      <c r="C2" s="687"/>
      <c r="D2" s="687"/>
      <c r="E2" s="687"/>
      <c r="F2" s="687"/>
      <c r="G2" s="687"/>
    </row>
    <row r="3" spans="1:17" s="35" customFormat="1">
      <c r="A3" s="81"/>
      <c r="B3" s="747" t="s">
        <v>141</v>
      </c>
      <c r="C3" s="747"/>
      <c r="D3" s="747"/>
      <c r="E3" s="82">
        <v>2022</v>
      </c>
      <c r="F3" s="82">
        <v>2023</v>
      </c>
      <c r="G3" s="82">
        <v>2024</v>
      </c>
      <c r="H3" s="82">
        <v>2025</v>
      </c>
      <c r="I3" s="82">
        <v>2026</v>
      </c>
      <c r="J3" s="82">
        <v>2027</v>
      </c>
      <c r="K3" s="82">
        <v>2028</v>
      </c>
      <c r="L3" s="82">
        <v>2029</v>
      </c>
      <c r="M3" s="82">
        <v>2030</v>
      </c>
      <c r="N3" s="82">
        <v>2031</v>
      </c>
      <c r="O3" s="82">
        <v>2032</v>
      </c>
      <c r="P3" s="82">
        <v>2033</v>
      </c>
      <c r="Q3" s="82">
        <v>2034</v>
      </c>
    </row>
    <row r="4" spans="1:17" ht="16" customHeight="1">
      <c r="B4" s="751" t="s">
        <v>48</v>
      </c>
      <c r="C4" s="748" t="s">
        <v>49</v>
      </c>
      <c r="D4" s="283" t="s">
        <v>51</v>
      </c>
      <c r="E4" s="284"/>
      <c r="F4" s="284">
        <f t="shared" ref="F4:P4" si="0">F5+F6</f>
        <v>0</v>
      </c>
      <c r="G4" s="284" t="e">
        <f t="shared" si="0"/>
        <v>#DIV/0!</v>
      </c>
      <c r="H4" s="284" t="e">
        <f t="shared" si="0"/>
        <v>#DIV/0!</v>
      </c>
      <c r="I4" s="284" t="e">
        <f t="shared" si="0"/>
        <v>#DIV/0!</v>
      </c>
      <c r="J4" s="284" t="e">
        <f t="shared" si="0"/>
        <v>#DIV/0!</v>
      </c>
      <c r="K4" s="284" t="e">
        <f t="shared" si="0"/>
        <v>#DIV/0!</v>
      </c>
      <c r="L4" s="284" t="e">
        <f t="shared" si="0"/>
        <v>#DIV/0!</v>
      </c>
      <c r="M4" s="284" t="e">
        <f t="shared" si="0"/>
        <v>#DIV/0!</v>
      </c>
      <c r="N4" s="284" t="e">
        <f t="shared" si="0"/>
        <v>#DIV/0!</v>
      </c>
      <c r="O4" s="284" t="e">
        <f t="shared" si="0"/>
        <v>#DIV/0!</v>
      </c>
      <c r="P4" s="284" t="e">
        <f t="shared" si="0"/>
        <v>#DIV/0!</v>
      </c>
      <c r="Q4" s="285" t="e">
        <f>Q5+Q6</f>
        <v>#DIV/0!</v>
      </c>
    </row>
    <row r="5" spans="1:17">
      <c r="B5" s="752"/>
      <c r="C5" s="749"/>
      <c r="D5" s="37" t="s">
        <v>52</v>
      </c>
      <c r="E5" s="52"/>
      <c r="F5" s="52">
        <f>+'Emisiones COP'!D3-F11</f>
        <v>0</v>
      </c>
      <c r="G5" s="52" t="e">
        <f>+'Emisiones COP'!E3-G11</f>
        <v>#DIV/0!</v>
      </c>
      <c r="H5" s="52" t="e">
        <f>+'Emisiones COP'!F3-H11</f>
        <v>#DIV/0!</v>
      </c>
      <c r="I5" s="52" t="e">
        <f>+'Emisiones COP'!G3-I11</f>
        <v>#DIV/0!</v>
      </c>
      <c r="J5" s="52" t="e">
        <f>+'Emisiones COP'!H3-J11</f>
        <v>#DIV/0!</v>
      </c>
      <c r="K5" s="52" t="e">
        <f>+'Emisiones COP'!I3-K11</f>
        <v>#DIV/0!</v>
      </c>
      <c r="L5" s="52" t="e">
        <f>+'Emisiones COP'!J3-L11</f>
        <v>#DIV/0!</v>
      </c>
      <c r="M5" s="52" t="e">
        <f>+'Emisiones COP'!K3-M11</f>
        <v>#DIV/0!</v>
      </c>
      <c r="N5" s="52" t="e">
        <f>+'Emisiones COP'!L3-N11</f>
        <v>#DIV/0!</v>
      </c>
      <c r="O5" s="52" t="e">
        <f>+'Emisiones COP'!M3-O11</f>
        <v>#DIV/0!</v>
      </c>
      <c r="P5" s="52" t="e">
        <f>+'Emisiones COP'!N3-P11</f>
        <v>#DIV/0!</v>
      </c>
      <c r="Q5" s="286" t="e">
        <f>+'Emisiones COP'!O3-Q11</f>
        <v>#DIV/0!</v>
      </c>
    </row>
    <row r="6" spans="1:17">
      <c r="B6" s="752"/>
      <c r="C6" s="749"/>
      <c r="D6" s="37" t="s">
        <v>53</v>
      </c>
      <c r="E6" s="52"/>
      <c r="F6" s="52">
        <f>+'Emisiones UVR'!D5-F12</f>
        <v>0</v>
      </c>
      <c r="G6" s="52" t="e">
        <f>+'Emisiones UVR'!E5-G12</f>
        <v>#DIV/0!</v>
      </c>
      <c r="H6" s="52" t="e">
        <f>+'Emisiones UVR'!F5-H12</f>
        <v>#DIV/0!</v>
      </c>
      <c r="I6" s="52" t="e">
        <f>+'Emisiones UVR'!G5-I12</f>
        <v>#DIV/0!</v>
      </c>
      <c r="J6" s="52" t="e">
        <f>+'Emisiones UVR'!H5-J12</f>
        <v>#DIV/0!</v>
      </c>
      <c r="K6" s="52" t="e">
        <f>+'Emisiones UVR'!I5-K12</f>
        <v>#DIV/0!</v>
      </c>
      <c r="L6" s="52" t="e">
        <f>+'Emisiones UVR'!J5-L12</f>
        <v>#DIV/0!</v>
      </c>
      <c r="M6" s="52" t="e">
        <f>+'Emisiones UVR'!K5-M12</f>
        <v>#DIV/0!</v>
      </c>
      <c r="N6" s="52" t="e">
        <f>+'Emisiones UVR'!L5-N12</f>
        <v>#DIV/0!</v>
      </c>
      <c r="O6" s="52" t="e">
        <f>+'Emisiones UVR'!M5-O12</f>
        <v>#DIV/0!</v>
      </c>
      <c r="P6" s="52" t="e">
        <f>+'Emisiones UVR'!N5-P12</f>
        <v>#DIV/0!</v>
      </c>
      <c r="Q6" s="286" t="e">
        <f>+'Emisiones UVR'!O5-Q12</f>
        <v>#DIV/0!</v>
      </c>
    </row>
    <row r="7" spans="1:17">
      <c r="B7" s="752"/>
      <c r="C7" s="749"/>
      <c r="D7" s="35" t="s">
        <v>54</v>
      </c>
      <c r="E7" s="60"/>
      <c r="F7" s="60">
        <f t="shared" ref="F7:P7" si="1">F8+F9</f>
        <v>0</v>
      </c>
      <c r="G7" s="60">
        <f>G8+G9</f>
        <v>0</v>
      </c>
      <c r="H7" s="60">
        <f t="shared" si="1"/>
        <v>0</v>
      </c>
      <c r="I7" s="60">
        <f t="shared" si="1"/>
        <v>0</v>
      </c>
      <c r="J7" s="60">
        <f t="shared" si="1"/>
        <v>0</v>
      </c>
      <c r="K7" s="60">
        <f t="shared" si="1"/>
        <v>0</v>
      </c>
      <c r="L7" s="60">
        <f t="shared" si="1"/>
        <v>0</v>
      </c>
      <c r="M7" s="60">
        <f t="shared" si="1"/>
        <v>0</v>
      </c>
      <c r="N7" s="60">
        <f t="shared" si="1"/>
        <v>0</v>
      </c>
      <c r="O7" s="60">
        <f t="shared" si="1"/>
        <v>0</v>
      </c>
      <c r="P7" s="60">
        <f t="shared" si="1"/>
        <v>0</v>
      </c>
      <c r="Q7" s="287">
        <f>Q8+Q9</f>
        <v>0</v>
      </c>
    </row>
    <row r="8" spans="1:17">
      <c r="B8" s="752"/>
      <c r="C8" s="749"/>
      <c r="D8" s="37" t="s">
        <v>52</v>
      </c>
      <c r="E8" s="52"/>
      <c r="F8" s="52">
        <f>'Emisiones COP'!D4</f>
        <v>0</v>
      </c>
      <c r="G8" s="52">
        <f>'Emisiones COP'!E4</f>
        <v>0</v>
      </c>
      <c r="H8" s="52">
        <f>'Emisiones COP'!F4</f>
        <v>0</v>
      </c>
      <c r="I8" s="52">
        <f>'Emisiones COP'!G4</f>
        <v>0</v>
      </c>
      <c r="J8" s="52">
        <f>'Emisiones COP'!H4</f>
        <v>0</v>
      </c>
      <c r="K8" s="52">
        <f>'Emisiones COP'!I4</f>
        <v>0</v>
      </c>
      <c r="L8" s="52">
        <f>'Emisiones COP'!J4</f>
        <v>0</v>
      </c>
      <c r="M8" s="52">
        <f>'Emisiones COP'!K4</f>
        <v>0</v>
      </c>
      <c r="N8" s="52">
        <f>'Emisiones COP'!L4</f>
        <v>0</v>
      </c>
      <c r="O8" s="52">
        <f>'Emisiones COP'!M4</f>
        <v>0</v>
      </c>
      <c r="P8" s="52">
        <f>'Emisiones COP'!N4</f>
        <v>0</v>
      </c>
      <c r="Q8" s="286">
        <f>'Emisiones COP'!O4</f>
        <v>0</v>
      </c>
    </row>
    <row r="9" spans="1:17">
      <c r="B9" s="752"/>
      <c r="C9" s="749"/>
      <c r="D9" s="37" t="s">
        <v>53</v>
      </c>
      <c r="E9" s="52"/>
      <c r="F9" s="52">
        <f>'Emisiones UVR'!D6</f>
        <v>0</v>
      </c>
      <c r="G9" s="52">
        <f>'Emisiones UVR'!E6</f>
        <v>0</v>
      </c>
      <c r="H9" s="52">
        <f>'Emisiones UVR'!F6</f>
        <v>0</v>
      </c>
      <c r="I9" s="52">
        <f>'Emisiones UVR'!G6</f>
        <v>0</v>
      </c>
      <c r="J9" s="52">
        <f>'Emisiones UVR'!H6</f>
        <v>0</v>
      </c>
      <c r="K9" s="52">
        <f>'Emisiones UVR'!I6</f>
        <v>0</v>
      </c>
      <c r="L9" s="52">
        <f>'Emisiones UVR'!J6</f>
        <v>0</v>
      </c>
      <c r="M9" s="52">
        <f>'Emisiones UVR'!K6</f>
        <v>0</v>
      </c>
      <c r="N9" s="52">
        <f>'Emisiones UVR'!L6</f>
        <v>0</v>
      </c>
      <c r="O9" s="52">
        <f>'Emisiones UVR'!M6</f>
        <v>0</v>
      </c>
      <c r="P9" s="52">
        <f>'Emisiones UVR'!N6</f>
        <v>0</v>
      </c>
      <c r="Q9" s="286">
        <f>'Emisiones UVR'!O6</f>
        <v>0</v>
      </c>
    </row>
    <row r="10" spans="1:17">
      <c r="B10" s="752"/>
      <c r="C10" s="749"/>
      <c r="D10" s="35" t="s">
        <v>37</v>
      </c>
      <c r="E10" s="59"/>
      <c r="F10" s="60">
        <f t="shared" ref="F10:P10" si="2">F11+F12</f>
        <v>0</v>
      </c>
      <c r="G10" s="60">
        <f t="shared" si="2"/>
        <v>0</v>
      </c>
      <c r="H10" s="60">
        <f t="shared" si="2"/>
        <v>0</v>
      </c>
      <c r="I10" s="60">
        <f t="shared" si="2"/>
        <v>0</v>
      </c>
      <c r="J10" s="60">
        <f t="shared" si="2"/>
        <v>0</v>
      </c>
      <c r="K10" s="60">
        <f t="shared" si="2"/>
        <v>0</v>
      </c>
      <c r="L10" s="60" t="e">
        <f t="shared" si="2"/>
        <v>#DIV/0!</v>
      </c>
      <c r="M10" s="60" t="e">
        <f t="shared" si="2"/>
        <v>#DIV/0!</v>
      </c>
      <c r="N10" s="60" t="e">
        <f t="shared" si="2"/>
        <v>#DIV/0!</v>
      </c>
      <c r="O10" s="60" t="e">
        <f t="shared" si="2"/>
        <v>#DIV/0!</v>
      </c>
      <c r="P10" s="60" t="e">
        <f t="shared" si="2"/>
        <v>#DIV/0!</v>
      </c>
      <c r="Q10" s="287" t="e">
        <f>Q11+Q12</f>
        <v>#DIV/0!</v>
      </c>
    </row>
    <row r="11" spans="1:17">
      <c r="B11" s="752"/>
      <c r="C11" s="749"/>
      <c r="D11" s="37" t="s">
        <v>52</v>
      </c>
      <c r="E11" s="57"/>
      <c r="F11" s="52">
        <f>'Emisiones COP'!D8</f>
        <v>0</v>
      </c>
      <c r="G11" s="52">
        <f>'Emisiones COP'!E8</f>
        <v>0</v>
      </c>
      <c r="H11" s="52">
        <f>'Emisiones COP'!F8</f>
        <v>0</v>
      </c>
      <c r="I11" s="52">
        <f>'Emisiones COP'!G8</f>
        <v>0</v>
      </c>
      <c r="J11" s="52">
        <f>'Emisiones COP'!H8</f>
        <v>0</v>
      </c>
      <c r="K11" s="52">
        <f>'Emisiones COP'!I8</f>
        <v>0</v>
      </c>
      <c r="L11" s="52" t="e">
        <f>'Emisiones COP'!J8</f>
        <v>#DIV/0!</v>
      </c>
      <c r="M11" s="52" t="e">
        <f>'Emisiones COP'!K8</f>
        <v>#DIV/0!</v>
      </c>
      <c r="N11" s="52" t="e">
        <f>'Emisiones COP'!L8</f>
        <v>#DIV/0!</v>
      </c>
      <c r="O11" s="52" t="e">
        <f>'Emisiones COP'!M8</f>
        <v>#DIV/0!</v>
      </c>
      <c r="P11" s="52" t="e">
        <f>'Emisiones COP'!N8</f>
        <v>#DIV/0!</v>
      </c>
      <c r="Q11" s="286" t="e">
        <f>'Emisiones COP'!O8</f>
        <v>#DIV/0!</v>
      </c>
    </row>
    <row r="12" spans="1:17">
      <c r="B12" s="752"/>
      <c r="C12" s="749"/>
      <c r="D12" s="37" t="s">
        <v>53</v>
      </c>
      <c r="E12" s="57"/>
      <c r="F12" s="52">
        <f>'Emisiones UVR'!D16</f>
        <v>0</v>
      </c>
      <c r="G12" s="52">
        <f>'Emisiones UVR'!E16</f>
        <v>0</v>
      </c>
      <c r="H12" s="52">
        <f>'Emisiones UVR'!F16</f>
        <v>0</v>
      </c>
      <c r="I12" s="52">
        <f>'Emisiones UVR'!G16</f>
        <v>0</v>
      </c>
      <c r="J12" s="52">
        <f>'Emisiones UVR'!H16</f>
        <v>0</v>
      </c>
      <c r="K12" s="52">
        <f>'Emisiones UVR'!I16</f>
        <v>0</v>
      </c>
      <c r="L12" s="52" t="e">
        <f>'Emisiones UVR'!J16</f>
        <v>#DIV/0!</v>
      </c>
      <c r="M12" s="52" t="e">
        <f>'Emisiones UVR'!K16</f>
        <v>#DIV/0!</v>
      </c>
      <c r="N12" s="52" t="e">
        <f>'Emisiones UVR'!L16</f>
        <v>#DIV/0!</v>
      </c>
      <c r="O12" s="52" t="e">
        <f>'Emisiones UVR'!M16</f>
        <v>#DIV/0!</v>
      </c>
      <c r="P12" s="53" t="e">
        <f>'Emisiones UVR'!N16</f>
        <v>#DIV/0!</v>
      </c>
      <c r="Q12" s="451" t="e">
        <f>'Emisiones UVR'!O16</f>
        <v>#DIV/0!</v>
      </c>
    </row>
    <row r="13" spans="1:17">
      <c r="B13" s="752"/>
      <c r="C13" s="749"/>
      <c r="D13" s="35" t="s">
        <v>142</v>
      </c>
      <c r="E13" s="60"/>
      <c r="F13" s="60">
        <f t="shared" ref="F13" si="3">F14+F15</f>
        <v>0</v>
      </c>
      <c r="G13" s="60" t="e">
        <f t="shared" ref="G13:O13" si="4">G14+G15</f>
        <v>#DIV/0!</v>
      </c>
      <c r="H13" s="60" t="e">
        <f t="shared" si="4"/>
        <v>#DIV/0!</v>
      </c>
      <c r="I13" s="60" t="e">
        <f t="shared" si="4"/>
        <v>#DIV/0!</v>
      </c>
      <c r="J13" s="60" t="e">
        <f t="shared" si="4"/>
        <v>#DIV/0!</v>
      </c>
      <c r="K13" s="60" t="e">
        <f t="shared" si="4"/>
        <v>#DIV/0!</v>
      </c>
      <c r="L13" s="60" t="e">
        <f t="shared" si="4"/>
        <v>#DIV/0!</v>
      </c>
      <c r="M13" s="60" t="e">
        <f t="shared" si="4"/>
        <v>#DIV/0!</v>
      </c>
      <c r="N13" s="60" t="e">
        <f t="shared" si="4"/>
        <v>#DIV/0!</v>
      </c>
      <c r="O13" s="59" t="e">
        <f t="shared" si="4"/>
        <v>#DIV/0!</v>
      </c>
      <c r="P13" s="452" t="e">
        <f>P14+P15</f>
        <v>#DIV/0!</v>
      </c>
      <c r="Q13" s="453" t="e">
        <f>Q14+Q15</f>
        <v>#DIV/0!</v>
      </c>
    </row>
    <row r="14" spans="1:17">
      <c r="B14" s="752"/>
      <c r="C14" s="749"/>
      <c r="D14" s="37" t="s">
        <v>52</v>
      </c>
      <c r="E14" s="52"/>
      <c r="F14" s="52">
        <f>F5+F8+F11</f>
        <v>0</v>
      </c>
      <c r="G14" s="52" t="e">
        <f t="shared" ref="G14:O14" si="5">G5+G8+G11</f>
        <v>#DIV/0!</v>
      </c>
      <c r="H14" s="52" t="e">
        <f t="shared" si="5"/>
        <v>#DIV/0!</v>
      </c>
      <c r="I14" s="52" t="e">
        <f t="shared" si="5"/>
        <v>#DIV/0!</v>
      </c>
      <c r="J14" s="52" t="e">
        <f t="shared" si="5"/>
        <v>#DIV/0!</v>
      </c>
      <c r="K14" s="52" t="e">
        <f t="shared" si="5"/>
        <v>#DIV/0!</v>
      </c>
      <c r="L14" s="52" t="e">
        <f t="shared" si="5"/>
        <v>#DIV/0!</v>
      </c>
      <c r="M14" s="52" t="e">
        <f t="shared" si="5"/>
        <v>#DIV/0!</v>
      </c>
      <c r="N14" s="52" t="e">
        <f t="shared" si="5"/>
        <v>#DIV/0!</v>
      </c>
      <c r="O14" s="57" t="e">
        <f t="shared" si="5"/>
        <v>#DIV/0!</v>
      </c>
      <c r="P14" s="454" t="e">
        <f>P5+P8+P11</f>
        <v>#DIV/0!</v>
      </c>
      <c r="Q14" s="455" t="e">
        <f>Q5+Q8+Q11</f>
        <v>#DIV/0!</v>
      </c>
    </row>
    <row r="15" spans="1:17">
      <c r="B15" s="752"/>
      <c r="C15" s="750"/>
      <c r="D15" s="288" t="s">
        <v>53</v>
      </c>
      <c r="E15" s="289"/>
      <c r="F15" s="289">
        <f>F6+F9+F12</f>
        <v>0</v>
      </c>
      <c r="G15" s="289" t="e">
        <f t="shared" ref="G15:P15" si="6">G6+G9+G12</f>
        <v>#DIV/0!</v>
      </c>
      <c r="H15" s="289" t="e">
        <f t="shared" si="6"/>
        <v>#DIV/0!</v>
      </c>
      <c r="I15" s="289" t="e">
        <f t="shared" si="6"/>
        <v>#DIV/0!</v>
      </c>
      <c r="J15" s="289" t="e">
        <f t="shared" si="6"/>
        <v>#DIV/0!</v>
      </c>
      <c r="K15" s="289" t="e">
        <f t="shared" si="6"/>
        <v>#DIV/0!</v>
      </c>
      <c r="L15" s="289" t="e">
        <f t="shared" si="6"/>
        <v>#DIV/0!</v>
      </c>
      <c r="M15" s="289" t="e">
        <f t="shared" si="6"/>
        <v>#DIV/0!</v>
      </c>
      <c r="N15" s="289" t="e">
        <f t="shared" si="6"/>
        <v>#DIV/0!</v>
      </c>
      <c r="O15" s="450" t="e">
        <f t="shared" si="6"/>
        <v>#DIV/0!</v>
      </c>
      <c r="P15" s="456" t="e">
        <f t="shared" si="6"/>
        <v>#DIV/0!</v>
      </c>
      <c r="Q15" s="457" t="e">
        <f t="shared" ref="Q15" si="7">Q6+Q9+Q12</f>
        <v>#DIV/0!</v>
      </c>
    </row>
    <row r="16" spans="1:17" ht="16" customHeight="1">
      <c r="B16" s="752"/>
      <c r="C16" s="741" t="s">
        <v>50</v>
      </c>
      <c r="D16" s="283" t="s">
        <v>51</v>
      </c>
      <c r="E16" s="284"/>
      <c r="F16" s="284">
        <f>+'Deuda a emitir'!B26</f>
        <v>0</v>
      </c>
      <c r="G16" s="284" t="e">
        <f>+'Deuda a emitir'!C26</f>
        <v>#DIV/0!</v>
      </c>
      <c r="H16" s="284" t="e">
        <f>+'Deuda a emitir'!D26</f>
        <v>#DIV/0!</v>
      </c>
      <c r="I16" s="284" t="e">
        <f>+'Deuda a emitir'!E26</f>
        <v>#DIV/0!</v>
      </c>
      <c r="J16" s="284" t="e">
        <f>+'Deuda a emitir'!F26</f>
        <v>#DIV/0!</v>
      </c>
      <c r="K16" s="284" t="e">
        <f>+'Deuda a emitir'!G26</f>
        <v>#DIV/0!</v>
      </c>
      <c r="L16" s="284" t="e">
        <f>+'Deuda a emitir'!H26</f>
        <v>#DIV/0!</v>
      </c>
      <c r="M16" s="284" t="e">
        <f>+'Deuda a emitir'!I26</f>
        <v>#DIV/0!</v>
      </c>
      <c r="N16" s="284" t="e">
        <f>+'Deuda a emitir'!J26</f>
        <v>#DIV/0!</v>
      </c>
      <c r="O16" s="284" t="e">
        <f>+'Deuda a emitir'!K26</f>
        <v>#DIV/0!</v>
      </c>
      <c r="P16" s="458" t="e">
        <f>+'Deuda a emitir'!L26</f>
        <v>#DIV/0!</v>
      </c>
      <c r="Q16" s="459" t="e">
        <f>+'Deuda a emitir'!M26</f>
        <v>#DIV/0!</v>
      </c>
    </row>
    <row r="17" spans="2:17">
      <c r="B17" s="752"/>
      <c r="C17" s="742"/>
      <c r="D17" s="37" t="s">
        <v>210</v>
      </c>
      <c r="E17" s="52"/>
      <c r="F17" s="52">
        <f>'Emisiones USD Bonos'!D4-F23</f>
        <v>0</v>
      </c>
      <c r="G17" s="52" t="e">
        <f>'Emisiones USD Bonos'!E4-G23</f>
        <v>#DIV/0!</v>
      </c>
      <c r="H17" s="52" t="e">
        <f>'Emisiones USD Bonos'!F4-H23</f>
        <v>#DIV/0!</v>
      </c>
      <c r="I17" s="52" t="e">
        <f>'Emisiones USD Bonos'!G4-I23</f>
        <v>#DIV/0!</v>
      </c>
      <c r="J17" s="52" t="e">
        <f>'Emisiones USD Bonos'!H4-J23</f>
        <v>#DIV/0!</v>
      </c>
      <c r="K17" s="52" t="e">
        <f>'Emisiones USD Bonos'!I4-K23</f>
        <v>#DIV/0!</v>
      </c>
      <c r="L17" s="52" t="e">
        <f>'Emisiones USD Bonos'!J4-L23</f>
        <v>#DIV/0!</v>
      </c>
      <c r="M17" s="52" t="e">
        <f>'Emisiones USD Bonos'!K4-M23</f>
        <v>#DIV/0!</v>
      </c>
      <c r="N17" s="52" t="e">
        <f>'Emisiones USD Bonos'!L4-N23</f>
        <v>#DIV/0!</v>
      </c>
      <c r="O17" s="52" t="e">
        <f>'Emisiones USD Bonos'!M4-O23</f>
        <v>#DIV/0!</v>
      </c>
      <c r="P17" s="53" t="e">
        <f>'Emisiones USD Bonos'!N4-P23</f>
        <v>#DIV/0!</v>
      </c>
      <c r="Q17" s="451" t="e">
        <f>'Emisiones USD Bonos'!O4-Q23</f>
        <v>#DIV/0!</v>
      </c>
    </row>
    <row r="18" spans="2:17">
      <c r="B18" s="752"/>
      <c r="C18" s="742"/>
      <c r="D18" s="37" t="s">
        <v>211</v>
      </c>
      <c r="E18" s="52"/>
      <c r="F18" s="52">
        <f>'Emisiones USD Multil'!D4-F24</f>
        <v>0</v>
      </c>
      <c r="G18" s="52" t="e">
        <f>'Emisiones USD Multil'!E4-G24</f>
        <v>#DIV/0!</v>
      </c>
      <c r="H18" s="52" t="e">
        <f>'Emisiones USD Multil'!F4-H24</f>
        <v>#DIV/0!</v>
      </c>
      <c r="I18" s="52" t="e">
        <f>'Emisiones USD Multil'!G4-I24</f>
        <v>#DIV/0!</v>
      </c>
      <c r="J18" s="52" t="e">
        <f>'Emisiones USD Multil'!H4-J24</f>
        <v>#DIV/0!</v>
      </c>
      <c r="K18" s="52" t="e">
        <f>'Emisiones USD Multil'!I4-K24</f>
        <v>#DIV/0!</v>
      </c>
      <c r="L18" s="52" t="e">
        <f>'Emisiones USD Multil'!J4-L24</f>
        <v>#DIV/0!</v>
      </c>
      <c r="M18" s="52" t="e">
        <f>'Emisiones USD Multil'!K4-M24</f>
        <v>#DIV/0!</v>
      </c>
      <c r="N18" s="52" t="e">
        <f>'Emisiones USD Multil'!L4-N24</f>
        <v>#DIV/0!</v>
      </c>
      <c r="O18" s="52" t="e">
        <f>'Emisiones USD Multil'!M4-O24</f>
        <v>#DIV/0!</v>
      </c>
      <c r="P18" s="53" t="e">
        <f>'Emisiones USD Multil'!N4-P24</f>
        <v>#DIV/0!</v>
      </c>
      <c r="Q18" s="451" t="e">
        <f>'Emisiones USD Multil'!O4-Q24</f>
        <v>#DIV/0!</v>
      </c>
    </row>
    <row r="19" spans="2:17">
      <c r="B19" s="752"/>
      <c r="C19" s="742"/>
      <c r="D19" s="35" t="s">
        <v>54</v>
      </c>
      <c r="E19" s="60"/>
      <c r="F19" s="60">
        <f>+'Deuda a emitir'!B35</f>
        <v>0</v>
      </c>
      <c r="G19" s="60">
        <f>+'Deuda a emitir'!C35</f>
        <v>0</v>
      </c>
      <c r="H19" s="60">
        <f>+'Deuda a emitir'!D35</f>
        <v>0</v>
      </c>
      <c r="I19" s="60">
        <f>+'Deuda a emitir'!E35</f>
        <v>0</v>
      </c>
      <c r="J19" s="60">
        <f>+'Deuda a emitir'!F35</f>
        <v>0</v>
      </c>
      <c r="K19" s="60">
        <f>+'Deuda a emitir'!G35</f>
        <v>0</v>
      </c>
      <c r="L19" s="60">
        <f>+'Deuda a emitir'!H35</f>
        <v>0</v>
      </c>
      <c r="M19" s="60">
        <f>+'Deuda a emitir'!I35</f>
        <v>0</v>
      </c>
      <c r="N19" s="60">
        <f>+'Deuda a emitir'!J35</f>
        <v>0</v>
      </c>
      <c r="O19" s="60">
        <f>+'Deuda a emitir'!K35</f>
        <v>0</v>
      </c>
      <c r="P19" s="460">
        <f>+'Deuda a emitir'!L35</f>
        <v>0</v>
      </c>
      <c r="Q19" s="461">
        <f>+'Deuda a emitir'!M35</f>
        <v>0</v>
      </c>
    </row>
    <row r="20" spans="2:17">
      <c r="B20" s="752"/>
      <c r="C20" s="742"/>
      <c r="D20" s="37" t="s">
        <v>210</v>
      </c>
      <c r="E20" s="52"/>
      <c r="F20" s="52">
        <f>'Emisiones USD Bonos'!D5</f>
        <v>0</v>
      </c>
      <c r="G20" s="52">
        <f>'Emisiones USD Bonos'!E5</f>
        <v>0</v>
      </c>
      <c r="H20" s="52">
        <f>'Emisiones USD Bonos'!F5</f>
        <v>0</v>
      </c>
      <c r="I20" s="52">
        <f>'Emisiones USD Bonos'!G5</f>
        <v>0</v>
      </c>
      <c r="J20" s="52">
        <f>'Emisiones USD Bonos'!H5</f>
        <v>0</v>
      </c>
      <c r="K20" s="52">
        <f>'Emisiones USD Bonos'!I5</f>
        <v>0</v>
      </c>
      <c r="L20" s="52">
        <f>'Emisiones USD Bonos'!J5</f>
        <v>0</v>
      </c>
      <c r="M20" s="52">
        <f>'Emisiones USD Bonos'!K5</f>
        <v>0</v>
      </c>
      <c r="N20" s="52">
        <f>'Emisiones USD Bonos'!L5</f>
        <v>0</v>
      </c>
      <c r="O20" s="52">
        <f>'Emisiones USD Bonos'!M5</f>
        <v>0</v>
      </c>
      <c r="P20" s="53">
        <f>'Emisiones USD Bonos'!N5</f>
        <v>0</v>
      </c>
      <c r="Q20" s="451">
        <f>'Emisiones USD Bonos'!O5</f>
        <v>0</v>
      </c>
    </row>
    <row r="21" spans="2:17">
      <c r="B21" s="752"/>
      <c r="C21" s="742"/>
      <c r="D21" s="37" t="s">
        <v>211</v>
      </c>
      <c r="E21" s="52"/>
      <c r="F21" s="52">
        <f>'Emisiones USD Multil'!D5</f>
        <v>0</v>
      </c>
      <c r="G21" s="52">
        <f>'Emisiones USD Multil'!E5</f>
        <v>0</v>
      </c>
      <c r="H21" s="52">
        <f>'Emisiones USD Multil'!F5</f>
        <v>0</v>
      </c>
      <c r="I21" s="52">
        <f>'Emisiones USD Multil'!G5</f>
        <v>0</v>
      </c>
      <c r="J21" s="52">
        <f>'Emisiones USD Multil'!H5</f>
        <v>0</v>
      </c>
      <c r="K21" s="52">
        <f>'Emisiones USD Multil'!I5</f>
        <v>0</v>
      </c>
      <c r="L21" s="52">
        <f>'Emisiones USD Multil'!J5</f>
        <v>0</v>
      </c>
      <c r="M21" s="52">
        <f>'Emisiones USD Multil'!K5</f>
        <v>0</v>
      </c>
      <c r="N21" s="52">
        <f>'Emisiones USD Multil'!L5</f>
        <v>0</v>
      </c>
      <c r="O21" s="52">
        <f>'Emisiones USD Multil'!M5</f>
        <v>0</v>
      </c>
      <c r="P21" s="53">
        <f>'Emisiones USD Multil'!N5</f>
        <v>0</v>
      </c>
      <c r="Q21" s="451">
        <f>'Emisiones USD Multil'!O5</f>
        <v>0</v>
      </c>
    </row>
    <row r="22" spans="2:17">
      <c r="B22" s="752"/>
      <c r="C22" s="742"/>
      <c r="D22" s="35" t="s">
        <v>37</v>
      </c>
      <c r="E22" s="59"/>
      <c r="F22" s="60">
        <f>+'Deuda a emitir'!B27</f>
        <v>0</v>
      </c>
      <c r="G22" s="60">
        <f>+'Deuda a emitir'!C27</f>
        <v>0</v>
      </c>
      <c r="H22" s="60">
        <f>+'Deuda a emitir'!D27</f>
        <v>0</v>
      </c>
      <c r="I22" s="60">
        <f>+'Deuda a emitir'!E27</f>
        <v>0</v>
      </c>
      <c r="J22" s="60">
        <f>+'Deuda a emitir'!F27</f>
        <v>0</v>
      </c>
      <c r="K22" s="60" t="e">
        <f>+'Deuda a emitir'!G27</f>
        <v>#DIV/0!</v>
      </c>
      <c r="L22" s="60" t="e">
        <f>+'Deuda a emitir'!H27</f>
        <v>#DIV/0!</v>
      </c>
      <c r="M22" s="60" t="e">
        <f>+'Deuda a emitir'!I27</f>
        <v>#DIV/0!</v>
      </c>
      <c r="N22" s="60" t="e">
        <f>+'Deuda a emitir'!J27</f>
        <v>#DIV/0!</v>
      </c>
      <c r="O22" s="60" t="e">
        <f>+'Deuda a emitir'!K27</f>
        <v>#DIV/0!</v>
      </c>
      <c r="P22" s="460" t="e">
        <f>+'Deuda a emitir'!L27</f>
        <v>#DIV/0!</v>
      </c>
      <c r="Q22" s="461" t="e">
        <f>+'Deuda a emitir'!M27</f>
        <v>#DIV/0!</v>
      </c>
    </row>
    <row r="23" spans="2:17">
      <c r="B23" s="752"/>
      <c r="C23" s="742"/>
      <c r="D23" s="37" t="s">
        <v>210</v>
      </c>
      <c r="E23" s="57"/>
      <c r="F23" s="57">
        <f>'Emisiones USD Bonos'!D15</f>
        <v>0</v>
      </c>
      <c r="G23" s="57">
        <f>'Emisiones USD Bonos'!E15</f>
        <v>0</v>
      </c>
      <c r="H23" s="57">
        <f>'Emisiones USD Bonos'!F15</f>
        <v>0</v>
      </c>
      <c r="I23" s="57">
        <f>'Emisiones USD Bonos'!G15</f>
        <v>0</v>
      </c>
      <c r="J23" s="57">
        <f>'Emisiones USD Bonos'!H15</f>
        <v>0</v>
      </c>
      <c r="K23" s="57" t="e">
        <f>'Emisiones USD Bonos'!I15</f>
        <v>#DIV/0!</v>
      </c>
      <c r="L23" s="57" t="e">
        <f>'Emisiones USD Bonos'!J15</f>
        <v>#DIV/0!</v>
      </c>
      <c r="M23" s="57" t="e">
        <f>'Emisiones USD Bonos'!K15</f>
        <v>#DIV/0!</v>
      </c>
      <c r="N23" s="57" t="e">
        <f>'Emisiones USD Bonos'!L15</f>
        <v>#DIV/0!</v>
      </c>
      <c r="O23" s="57" t="e">
        <f>'Emisiones USD Bonos'!M15</f>
        <v>#DIV/0!</v>
      </c>
      <c r="P23" s="454" t="e">
        <f>'Emisiones USD Bonos'!N15</f>
        <v>#DIV/0!</v>
      </c>
      <c r="Q23" s="455" t="e">
        <f>'Emisiones USD Bonos'!O15</f>
        <v>#DIV/0!</v>
      </c>
    </row>
    <row r="24" spans="2:17">
      <c r="B24" s="752"/>
      <c r="C24" s="742"/>
      <c r="D24" s="37" t="s">
        <v>211</v>
      </c>
      <c r="E24" s="57"/>
      <c r="F24" s="57">
        <f>'Emisiones USD Multil'!D15</f>
        <v>0</v>
      </c>
      <c r="G24" s="57">
        <f>'Emisiones USD Multil'!E15</f>
        <v>0</v>
      </c>
      <c r="H24" s="57">
        <f>'Emisiones USD Multil'!F15</f>
        <v>0</v>
      </c>
      <c r="I24" s="57">
        <f>'Emisiones USD Multil'!G15</f>
        <v>0</v>
      </c>
      <c r="J24" s="57">
        <f>'Emisiones USD Multil'!H15</f>
        <v>0</v>
      </c>
      <c r="K24" s="57" t="e">
        <f>'Emisiones USD Multil'!I15</f>
        <v>#DIV/0!</v>
      </c>
      <c r="L24" s="57" t="e">
        <f>'Emisiones USD Multil'!J15</f>
        <v>#DIV/0!</v>
      </c>
      <c r="M24" s="57" t="e">
        <f>'Emisiones USD Multil'!K15</f>
        <v>#DIV/0!</v>
      </c>
      <c r="N24" s="57" t="e">
        <f>'Emisiones USD Multil'!L15</f>
        <v>#DIV/0!</v>
      </c>
      <c r="O24" s="57" t="e">
        <f>'Emisiones USD Multil'!M15</f>
        <v>#DIV/0!</v>
      </c>
      <c r="P24" s="454" t="e">
        <f>'Emisiones USD Multil'!N15</f>
        <v>#DIV/0!</v>
      </c>
      <c r="Q24" s="455" t="e">
        <f>'Emisiones USD Multil'!O15</f>
        <v>#DIV/0!</v>
      </c>
    </row>
    <row r="25" spans="2:17">
      <c r="B25" s="752"/>
      <c r="C25" s="742"/>
      <c r="D25" s="35" t="s">
        <v>143</v>
      </c>
      <c r="E25" s="60"/>
      <c r="F25" s="60">
        <f>F16+F19+F22</f>
        <v>0</v>
      </c>
      <c r="G25" s="60" t="e">
        <f t="shared" ref="G25:P25" si="8">G16+G19+G22</f>
        <v>#DIV/0!</v>
      </c>
      <c r="H25" s="60" t="e">
        <f t="shared" si="8"/>
        <v>#DIV/0!</v>
      </c>
      <c r="I25" s="60" t="e">
        <f t="shared" si="8"/>
        <v>#DIV/0!</v>
      </c>
      <c r="J25" s="60" t="e">
        <f t="shared" si="8"/>
        <v>#DIV/0!</v>
      </c>
      <c r="K25" s="60" t="e">
        <f t="shared" si="8"/>
        <v>#DIV/0!</v>
      </c>
      <c r="L25" s="60" t="e">
        <f t="shared" si="8"/>
        <v>#DIV/0!</v>
      </c>
      <c r="M25" s="60" t="e">
        <f t="shared" si="8"/>
        <v>#DIV/0!</v>
      </c>
      <c r="N25" s="60" t="e">
        <f t="shared" si="8"/>
        <v>#DIV/0!</v>
      </c>
      <c r="O25" s="59" t="e">
        <f t="shared" si="8"/>
        <v>#DIV/0!</v>
      </c>
      <c r="P25" s="452" t="e">
        <f t="shared" si="8"/>
        <v>#DIV/0!</v>
      </c>
      <c r="Q25" s="453" t="e">
        <f t="shared" ref="Q25:Q27" si="9">Q16+Q19+Q22</f>
        <v>#DIV/0!</v>
      </c>
    </row>
    <row r="26" spans="2:17">
      <c r="B26" s="752"/>
      <c r="C26" s="742"/>
      <c r="D26" s="37" t="s">
        <v>210</v>
      </c>
      <c r="E26" s="60"/>
      <c r="F26" s="52">
        <f>F17+F20+F23</f>
        <v>0</v>
      </c>
      <c r="G26" s="52" t="e">
        <f t="shared" ref="G26:P26" si="10">G17+G20+G23</f>
        <v>#DIV/0!</v>
      </c>
      <c r="H26" s="52" t="e">
        <f t="shared" si="10"/>
        <v>#DIV/0!</v>
      </c>
      <c r="I26" s="52" t="e">
        <f t="shared" si="10"/>
        <v>#DIV/0!</v>
      </c>
      <c r="J26" s="52" t="e">
        <f t="shared" si="10"/>
        <v>#DIV/0!</v>
      </c>
      <c r="K26" s="52" t="e">
        <f t="shared" si="10"/>
        <v>#DIV/0!</v>
      </c>
      <c r="L26" s="52" t="e">
        <f t="shared" si="10"/>
        <v>#DIV/0!</v>
      </c>
      <c r="M26" s="52" t="e">
        <f t="shared" si="10"/>
        <v>#DIV/0!</v>
      </c>
      <c r="N26" s="52" t="e">
        <f t="shared" si="10"/>
        <v>#DIV/0!</v>
      </c>
      <c r="O26" s="57" t="e">
        <f t="shared" si="10"/>
        <v>#DIV/0!</v>
      </c>
      <c r="P26" s="454" t="e">
        <f t="shared" si="10"/>
        <v>#DIV/0!</v>
      </c>
      <c r="Q26" s="455" t="e">
        <f t="shared" si="9"/>
        <v>#DIV/0!</v>
      </c>
    </row>
    <row r="27" spans="2:17">
      <c r="B27" s="753"/>
      <c r="C27" s="743"/>
      <c r="D27" s="288" t="s">
        <v>211</v>
      </c>
      <c r="E27" s="293"/>
      <c r="F27" s="289">
        <f>F18+F21+F24</f>
        <v>0</v>
      </c>
      <c r="G27" s="289" t="e">
        <f t="shared" ref="G27:P27" si="11">G18+G21+G24</f>
        <v>#DIV/0!</v>
      </c>
      <c r="H27" s="289" t="e">
        <f t="shared" si="11"/>
        <v>#DIV/0!</v>
      </c>
      <c r="I27" s="289" t="e">
        <f t="shared" si="11"/>
        <v>#DIV/0!</v>
      </c>
      <c r="J27" s="289" t="e">
        <f t="shared" si="11"/>
        <v>#DIV/0!</v>
      </c>
      <c r="K27" s="289" t="e">
        <f t="shared" si="11"/>
        <v>#DIV/0!</v>
      </c>
      <c r="L27" s="289" t="e">
        <f t="shared" si="11"/>
        <v>#DIV/0!</v>
      </c>
      <c r="M27" s="289" t="e">
        <f t="shared" si="11"/>
        <v>#DIV/0!</v>
      </c>
      <c r="N27" s="289" t="e">
        <f t="shared" si="11"/>
        <v>#DIV/0!</v>
      </c>
      <c r="O27" s="450" t="e">
        <f t="shared" si="11"/>
        <v>#DIV/0!</v>
      </c>
      <c r="P27" s="456" t="e">
        <f t="shared" si="11"/>
        <v>#DIV/0!</v>
      </c>
      <c r="Q27" s="457" t="e">
        <f t="shared" si="9"/>
        <v>#DIV/0!</v>
      </c>
    </row>
    <row r="28" spans="2:17" ht="8" customHeight="1">
      <c r="P28" s="279"/>
      <c r="Q28" s="279"/>
    </row>
    <row r="29" spans="2:17" ht="16" customHeight="1">
      <c r="B29" s="744" t="s">
        <v>121</v>
      </c>
      <c r="C29" s="748" t="s">
        <v>49</v>
      </c>
      <c r="D29" s="300" t="s">
        <v>122</v>
      </c>
      <c r="E29" s="296"/>
      <c r="F29" s="296">
        <f>'Deuda a emitir'!B12</f>
        <v>0</v>
      </c>
      <c r="G29" s="296">
        <f>'Deuda a emitir'!C12</f>
        <v>0</v>
      </c>
      <c r="H29" s="296">
        <f>'Deuda a emitir'!D12</f>
        <v>0</v>
      </c>
      <c r="I29" s="296">
        <f>'Deuda a emitir'!E12</f>
        <v>0</v>
      </c>
      <c r="J29" s="296">
        <f>'Deuda a emitir'!F12</f>
        <v>0</v>
      </c>
      <c r="K29" s="296">
        <f>'Deuda a emitir'!G12</f>
        <v>0</v>
      </c>
      <c r="L29" s="296">
        <f>'Deuda a emitir'!H12</f>
        <v>0</v>
      </c>
      <c r="M29" s="296">
        <f>'Deuda a emitir'!I12</f>
        <v>0</v>
      </c>
      <c r="N29" s="296">
        <f>'Deuda a emitir'!J12</f>
        <v>0</v>
      </c>
      <c r="O29" s="296">
        <f>'Deuda a emitir'!K12</f>
        <v>0</v>
      </c>
      <c r="P29" s="462">
        <f>'Deuda a emitir'!L12</f>
        <v>0</v>
      </c>
      <c r="Q29" s="463">
        <f>'Deuda a emitir'!M12</f>
        <v>0</v>
      </c>
    </row>
    <row r="30" spans="2:17">
      <c r="B30" s="745"/>
      <c r="C30" s="749"/>
      <c r="D30" s="301" t="s">
        <v>123</v>
      </c>
      <c r="E30" s="60"/>
      <c r="F30" s="60">
        <f>SUM(F31:F32)</f>
        <v>0</v>
      </c>
      <c r="G30" s="60">
        <f t="shared" ref="G30:P30" si="12">SUM(G31:G32)</f>
        <v>0</v>
      </c>
      <c r="H30" s="60" t="e">
        <f t="shared" si="12"/>
        <v>#DIV/0!</v>
      </c>
      <c r="I30" s="60" t="e">
        <f t="shared" si="12"/>
        <v>#DIV/0!</v>
      </c>
      <c r="J30" s="60" t="e">
        <f t="shared" si="12"/>
        <v>#DIV/0!</v>
      </c>
      <c r="K30" s="60" t="e">
        <f t="shared" si="12"/>
        <v>#DIV/0!</v>
      </c>
      <c r="L30" s="60" t="e">
        <f t="shared" si="12"/>
        <v>#DIV/0!</v>
      </c>
      <c r="M30" s="60" t="e">
        <f t="shared" si="12"/>
        <v>#DIV/0!</v>
      </c>
      <c r="N30" s="60" t="e">
        <f t="shared" si="12"/>
        <v>#DIV/0!</v>
      </c>
      <c r="O30" s="60" t="e">
        <f t="shared" si="12"/>
        <v>#DIV/0!</v>
      </c>
      <c r="P30" s="460" t="e">
        <f t="shared" si="12"/>
        <v>#DIV/0!</v>
      </c>
      <c r="Q30" s="461" t="e">
        <f t="shared" ref="Q30" si="13">SUM(Q31:Q32)</f>
        <v>#DIV/0!</v>
      </c>
    </row>
    <row r="31" spans="2:17">
      <c r="B31" s="745"/>
      <c r="C31" s="749"/>
      <c r="D31" s="302" t="s">
        <v>52</v>
      </c>
      <c r="E31" s="52"/>
      <c r="F31" s="52">
        <f>'Emisiones COP'!D6+'Emisiones COP'!D7</f>
        <v>0</v>
      </c>
      <c r="G31" s="52">
        <f>'Emisiones COP'!E6+'Emisiones COP'!E7</f>
        <v>0</v>
      </c>
      <c r="H31" s="52" t="e">
        <f>'Emisiones COP'!F6+'Emisiones COP'!F7</f>
        <v>#DIV/0!</v>
      </c>
      <c r="I31" s="52" t="e">
        <f>'Emisiones COP'!G6+'Emisiones COP'!G7</f>
        <v>#DIV/0!</v>
      </c>
      <c r="J31" s="52" t="e">
        <f>'Emisiones COP'!H6+'Emisiones COP'!H7</f>
        <v>#DIV/0!</v>
      </c>
      <c r="K31" s="52" t="e">
        <f>'Emisiones COP'!I6+'Emisiones COP'!I7</f>
        <v>#DIV/0!</v>
      </c>
      <c r="L31" s="52" t="e">
        <f>'Emisiones COP'!J6+'Emisiones COP'!J7</f>
        <v>#DIV/0!</v>
      </c>
      <c r="M31" s="52" t="e">
        <f>'Emisiones COP'!K6+'Emisiones COP'!K7</f>
        <v>#DIV/0!</v>
      </c>
      <c r="N31" s="52" t="e">
        <f>'Emisiones COP'!L6+'Emisiones COP'!L7</f>
        <v>#DIV/0!</v>
      </c>
      <c r="O31" s="52" t="e">
        <f>'Emisiones COP'!M6+'Emisiones COP'!M7</f>
        <v>#DIV/0!</v>
      </c>
      <c r="P31" s="53" t="e">
        <f>'Emisiones COP'!N6+'Emisiones COP'!N7</f>
        <v>#DIV/0!</v>
      </c>
      <c r="Q31" s="451" t="e">
        <f>'Emisiones COP'!O6+'Emisiones COP'!O7</f>
        <v>#DIV/0!</v>
      </c>
    </row>
    <row r="32" spans="2:17">
      <c r="B32" s="745"/>
      <c r="C32" s="749"/>
      <c r="D32" s="302" t="s">
        <v>53</v>
      </c>
      <c r="E32" s="52"/>
      <c r="F32" s="52">
        <f>'Emisiones UVR'!D11+'Emisiones UVR'!D12</f>
        <v>0</v>
      </c>
      <c r="G32" s="52">
        <f>'Emisiones UVR'!E11+'Emisiones UVR'!E12</f>
        <v>0</v>
      </c>
      <c r="H32" s="52" t="e">
        <f>'Emisiones UVR'!F11+'Emisiones UVR'!F12</f>
        <v>#DIV/0!</v>
      </c>
      <c r="I32" s="52" t="e">
        <f>'Emisiones UVR'!G11+'Emisiones UVR'!G12</f>
        <v>#DIV/0!</v>
      </c>
      <c r="J32" s="52" t="e">
        <f>'Emisiones UVR'!H11+'Emisiones UVR'!H12</f>
        <v>#DIV/0!</v>
      </c>
      <c r="K32" s="52" t="e">
        <f>'Emisiones UVR'!I11+'Emisiones UVR'!I12</f>
        <v>#DIV/0!</v>
      </c>
      <c r="L32" s="52" t="e">
        <f>'Emisiones UVR'!J11+'Emisiones UVR'!J12</f>
        <v>#DIV/0!</v>
      </c>
      <c r="M32" s="52" t="e">
        <f>'Emisiones UVR'!K11+'Emisiones UVR'!K12</f>
        <v>#DIV/0!</v>
      </c>
      <c r="N32" s="52" t="e">
        <f>'Emisiones UVR'!L11+'Emisiones UVR'!L12</f>
        <v>#DIV/0!</v>
      </c>
      <c r="O32" s="52" t="e">
        <f>'Emisiones UVR'!M11+'Emisiones UVR'!M12</f>
        <v>#DIV/0!</v>
      </c>
      <c r="P32" s="52" t="e">
        <f>'Emisiones UVR'!N11+'Emisiones UVR'!N12</f>
        <v>#DIV/0!</v>
      </c>
      <c r="Q32" s="286" t="e">
        <f>'Emisiones UVR'!O11+'Emisiones UVR'!O12</f>
        <v>#DIV/0!</v>
      </c>
    </row>
    <row r="33" spans="2:17">
      <c r="B33" s="745"/>
      <c r="C33" s="749"/>
      <c r="D33" s="301" t="s">
        <v>124</v>
      </c>
      <c r="E33" s="60"/>
      <c r="F33" s="60">
        <f>SUM(F34:F35)</f>
        <v>0</v>
      </c>
      <c r="G33" s="60" t="e">
        <f t="shared" ref="G33:P33" si="14">SUM(G34:G35)</f>
        <v>#DIV/0!</v>
      </c>
      <c r="H33" s="60" t="e">
        <f t="shared" si="14"/>
        <v>#DIV/0!</v>
      </c>
      <c r="I33" s="60" t="e">
        <f t="shared" si="14"/>
        <v>#DIV/0!</v>
      </c>
      <c r="J33" s="60" t="e">
        <f t="shared" si="14"/>
        <v>#DIV/0!</v>
      </c>
      <c r="K33" s="60" t="e">
        <f t="shared" si="14"/>
        <v>#DIV/0!</v>
      </c>
      <c r="L33" s="60" t="e">
        <f t="shared" si="14"/>
        <v>#DIV/0!</v>
      </c>
      <c r="M33" s="60" t="e">
        <f t="shared" si="14"/>
        <v>#DIV/0!</v>
      </c>
      <c r="N33" s="60" t="e">
        <f t="shared" si="14"/>
        <v>#DIV/0!</v>
      </c>
      <c r="O33" s="60" t="e">
        <f t="shared" si="14"/>
        <v>#DIV/0!</v>
      </c>
      <c r="P33" s="60" t="e">
        <f t="shared" si="14"/>
        <v>#DIV/0!</v>
      </c>
      <c r="Q33" s="287" t="e">
        <f t="shared" ref="Q33" si="15">SUM(Q34:Q35)</f>
        <v>#DIV/0!</v>
      </c>
    </row>
    <row r="34" spans="2:17">
      <c r="B34" s="745"/>
      <c r="C34" s="749"/>
      <c r="D34" s="302" t="s">
        <v>52</v>
      </c>
      <c r="E34" s="52"/>
      <c r="F34" s="52">
        <f>'Emisiones COP'!D9</f>
        <v>0</v>
      </c>
      <c r="G34" s="52" t="e">
        <f>'Emisiones COP'!E9</f>
        <v>#DIV/0!</v>
      </c>
      <c r="H34" s="52" t="e">
        <f>'Emisiones COP'!F9</f>
        <v>#DIV/0!</v>
      </c>
      <c r="I34" s="52" t="e">
        <f>'Emisiones COP'!G9</f>
        <v>#DIV/0!</v>
      </c>
      <c r="J34" s="52" t="e">
        <f>'Emisiones COP'!H9</f>
        <v>#DIV/0!</v>
      </c>
      <c r="K34" s="52" t="e">
        <f>'Emisiones COP'!I9</f>
        <v>#DIV/0!</v>
      </c>
      <c r="L34" s="52" t="e">
        <f>'Emisiones COP'!J9</f>
        <v>#DIV/0!</v>
      </c>
      <c r="M34" s="52" t="e">
        <f>'Emisiones COP'!K9</f>
        <v>#DIV/0!</v>
      </c>
      <c r="N34" s="52" t="e">
        <f>'Emisiones COP'!L9</f>
        <v>#DIV/0!</v>
      </c>
      <c r="O34" s="52" t="e">
        <f>'Emisiones COP'!M9</f>
        <v>#DIV/0!</v>
      </c>
      <c r="P34" s="52" t="e">
        <f>'Emisiones COP'!N9</f>
        <v>#DIV/0!</v>
      </c>
      <c r="Q34" s="286" t="e">
        <f>'Emisiones COP'!O9</f>
        <v>#DIV/0!</v>
      </c>
    </row>
    <row r="35" spans="2:17">
      <c r="B35" s="745"/>
      <c r="C35" s="749"/>
      <c r="D35" s="302" t="s">
        <v>53</v>
      </c>
      <c r="E35" s="52"/>
      <c r="F35" s="52">
        <f>'Emisiones UVR'!D17</f>
        <v>0</v>
      </c>
      <c r="G35" s="52" t="e">
        <f>'Emisiones UVR'!E17</f>
        <v>#DIV/0!</v>
      </c>
      <c r="H35" s="52" t="e">
        <f>'Emisiones UVR'!F17</f>
        <v>#DIV/0!</v>
      </c>
      <c r="I35" s="52" t="e">
        <f>'Emisiones UVR'!G17</f>
        <v>#DIV/0!</v>
      </c>
      <c r="J35" s="52" t="e">
        <f>'Emisiones UVR'!H17</f>
        <v>#DIV/0!</v>
      </c>
      <c r="K35" s="52" t="e">
        <f>'Emisiones UVR'!I17</f>
        <v>#DIV/0!</v>
      </c>
      <c r="L35" s="52" t="e">
        <f>'Emisiones UVR'!J17</f>
        <v>#DIV/0!</v>
      </c>
      <c r="M35" s="52" t="e">
        <f>'Emisiones UVR'!K17</f>
        <v>#DIV/0!</v>
      </c>
      <c r="N35" s="52" t="e">
        <f>'Emisiones UVR'!L17</f>
        <v>#DIV/0!</v>
      </c>
      <c r="O35" s="52" t="e">
        <f>'Emisiones UVR'!M17</f>
        <v>#DIV/0!</v>
      </c>
      <c r="P35" s="52" t="e">
        <f>'Emisiones UVR'!N17</f>
        <v>#DIV/0!</v>
      </c>
      <c r="Q35" s="286" t="e">
        <f>'Emisiones UVR'!O17</f>
        <v>#DIV/0!</v>
      </c>
    </row>
    <row r="36" spans="2:17">
      <c r="B36" s="745"/>
      <c r="C36" s="750"/>
      <c r="D36" s="303" t="s">
        <v>125</v>
      </c>
      <c r="E36" s="298"/>
      <c r="F36" s="298">
        <f>F29+F30-F33</f>
        <v>0</v>
      </c>
      <c r="G36" s="298" t="e">
        <f t="shared" ref="G36:P36" si="16">G29+G30-G33</f>
        <v>#DIV/0!</v>
      </c>
      <c r="H36" s="298" t="e">
        <f t="shared" si="16"/>
        <v>#DIV/0!</v>
      </c>
      <c r="I36" s="298" t="e">
        <f t="shared" si="16"/>
        <v>#DIV/0!</v>
      </c>
      <c r="J36" s="298" t="e">
        <f t="shared" si="16"/>
        <v>#DIV/0!</v>
      </c>
      <c r="K36" s="298" t="e">
        <f t="shared" si="16"/>
        <v>#DIV/0!</v>
      </c>
      <c r="L36" s="298" t="e">
        <f t="shared" si="16"/>
        <v>#DIV/0!</v>
      </c>
      <c r="M36" s="298" t="e">
        <f t="shared" si="16"/>
        <v>#DIV/0!</v>
      </c>
      <c r="N36" s="298" t="e">
        <f t="shared" si="16"/>
        <v>#DIV/0!</v>
      </c>
      <c r="O36" s="298" t="e">
        <f t="shared" si="16"/>
        <v>#DIV/0!</v>
      </c>
      <c r="P36" s="298" t="e">
        <f t="shared" si="16"/>
        <v>#DIV/0!</v>
      </c>
      <c r="Q36" s="299" t="e">
        <f t="shared" ref="Q36" si="17">Q29+Q30-Q33</f>
        <v>#DIV/0!</v>
      </c>
    </row>
    <row r="37" spans="2:17">
      <c r="B37" s="745"/>
      <c r="C37" s="741" t="s">
        <v>242</v>
      </c>
      <c r="D37" s="304" t="s">
        <v>130</v>
      </c>
      <c r="E37" s="305"/>
      <c r="F37" s="305">
        <f>'Deuda a emitir'!B15</f>
        <v>0</v>
      </c>
      <c r="G37" s="305">
        <f>'Deuda a emitir'!C15</f>
        <v>0</v>
      </c>
      <c r="H37" s="305" t="e">
        <f>'Deuda a emitir'!D15</f>
        <v>#DIV/0!</v>
      </c>
      <c r="I37" s="305" t="e">
        <f>'Deuda a emitir'!E15</f>
        <v>#DIV/0!</v>
      </c>
      <c r="J37" s="305" t="e">
        <f>'Deuda a emitir'!F15</f>
        <v>#DIV/0!</v>
      </c>
      <c r="K37" s="305" t="e">
        <f>'Deuda a emitir'!G15</f>
        <v>#DIV/0!</v>
      </c>
      <c r="L37" s="305" t="e">
        <f>'Deuda a emitir'!H15</f>
        <v>#DIV/0!</v>
      </c>
      <c r="M37" s="305" t="e">
        <f>'Deuda a emitir'!I15</f>
        <v>#DIV/0!</v>
      </c>
      <c r="N37" s="305" t="e">
        <f>'Deuda a emitir'!J15</f>
        <v>#DIV/0!</v>
      </c>
      <c r="O37" s="305" t="e">
        <f>'Deuda a emitir'!K15</f>
        <v>#DIV/0!</v>
      </c>
      <c r="P37" s="305" t="e">
        <f>'Deuda a emitir'!L15</f>
        <v>#DIV/0!</v>
      </c>
      <c r="Q37" s="306" t="e">
        <f>'Deuda a emitir'!M15</f>
        <v>#DIV/0!</v>
      </c>
    </row>
    <row r="38" spans="2:17">
      <c r="B38" s="745"/>
      <c r="C38" s="742"/>
      <c r="D38" s="302" t="s">
        <v>131</v>
      </c>
      <c r="E38" s="52"/>
      <c r="F38" s="52">
        <f>'Deuda a emitir'!B16</f>
        <v>0</v>
      </c>
      <c r="G38" s="52">
        <f>'Deuda a emitir'!C16</f>
        <v>0</v>
      </c>
      <c r="H38" s="52" t="e">
        <f>'Deuda a emitir'!D16</f>
        <v>#DIV/0!</v>
      </c>
      <c r="I38" s="52" t="e">
        <f>'Deuda a emitir'!E16</f>
        <v>#DIV/0!</v>
      </c>
      <c r="J38" s="52" t="e">
        <f>'Deuda a emitir'!F16</f>
        <v>#DIV/0!</v>
      </c>
      <c r="K38" s="52" t="e">
        <f>'Deuda a emitir'!G16</f>
        <v>#DIV/0!</v>
      </c>
      <c r="L38" s="52" t="e">
        <f>'Deuda a emitir'!H16</f>
        <v>#DIV/0!</v>
      </c>
      <c r="M38" s="52" t="e">
        <f>'Deuda a emitir'!I16</f>
        <v>#DIV/0!</v>
      </c>
      <c r="N38" s="52" t="e">
        <f>'Deuda a emitir'!J16</f>
        <v>#DIV/0!</v>
      </c>
      <c r="O38" s="52" t="e">
        <f>'Deuda a emitir'!K16</f>
        <v>#DIV/0!</v>
      </c>
      <c r="P38" s="52" t="e">
        <f>'Deuda a emitir'!L16</f>
        <v>#DIV/0!</v>
      </c>
      <c r="Q38" s="286" t="e">
        <f>'Deuda a emitir'!M16</f>
        <v>#DIV/0!</v>
      </c>
    </row>
    <row r="39" spans="2:17">
      <c r="B39" s="745"/>
      <c r="C39" s="743"/>
      <c r="D39" s="303" t="s">
        <v>132</v>
      </c>
      <c r="E39" s="298"/>
      <c r="F39" s="298">
        <f t="shared" ref="F39:P39" si="18">+SUM(F37:F38)</f>
        <v>0</v>
      </c>
      <c r="G39" s="298">
        <f t="shared" si="18"/>
        <v>0</v>
      </c>
      <c r="H39" s="298" t="e">
        <f t="shared" si="18"/>
        <v>#DIV/0!</v>
      </c>
      <c r="I39" s="298" t="e">
        <f t="shared" si="18"/>
        <v>#DIV/0!</v>
      </c>
      <c r="J39" s="298" t="e">
        <f t="shared" si="18"/>
        <v>#DIV/0!</v>
      </c>
      <c r="K39" s="298" t="e">
        <f t="shared" si="18"/>
        <v>#DIV/0!</v>
      </c>
      <c r="L39" s="298" t="e">
        <f t="shared" si="18"/>
        <v>#DIV/0!</v>
      </c>
      <c r="M39" s="298" t="e">
        <f t="shared" si="18"/>
        <v>#DIV/0!</v>
      </c>
      <c r="N39" s="298" t="e">
        <f t="shared" si="18"/>
        <v>#DIV/0!</v>
      </c>
      <c r="O39" s="298" t="e">
        <f t="shared" si="18"/>
        <v>#DIV/0!</v>
      </c>
      <c r="P39" s="298" t="e">
        <f t="shared" si="18"/>
        <v>#DIV/0!</v>
      </c>
      <c r="Q39" s="299" t="e">
        <f t="shared" ref="Q39" si="19">+SUM(Q37:Q38)</f>
        <v>#DIV/0!</v>
      </c>
    </row>
    <row r="40" spans="2:17" ht="15" customHeight="1">
      <c r="B40" s="745"/>
      <c r="C40" s="748" t="s">
        <v>50</v>
      </c>
      <c r="D40" s="307" t="s">
        <v>122</v>
      </c>
      <c r="E40" s="296"/>
      <c r="F40" s="296">
        <f>'Deuda a emitir'!B9</f>
        <v>0</v>
      </c>
      <c r="G40" s="296">
        <f>'Deuda a emitir'!C9</f>
        <v>0</v>
      </c>
      <c r="H40" s="296">
        <f>'Deuda a emitir'!D9</f>
        <v>0</v>
      </c>
      <c r="I40" s="296">
        <f>'Deuda a emitir'!E9</f>
        <v>0</v>
      </c>
      <c r="J40" s="296">
        <f>'Deuda a emitir'!F9</f>
        <v>0</v>
      </c>
      <c r="K40" s="296">
        <f>'Deuda a emitir'!G9</f>
        <v>0</v>
      </c>
      <c r="L40" s="296">
        <f>'Deuda a emitir'!H9</f>
        <v>0</v>
      </c>
      <c r="M40" s="296">
        <f>'Deuda a emitir'!I9</f>
        <v>0</v>
      </c>
      <c r="N40" s="296">
        <f>'Deuda a emitir'!J9</f>
        <v>0</v>
      </c>
      <c r="O40" s="296">
        <f>'Deuda a emitir'!K9</f>
        <v>0</v>
      </c>
      <c r="P40" s="296">
        <f>'Deuda a emitir'!L9</f>
        <v>0</v>
      </c>
      <c r="Q40" s="297">
        <f>'Deuda a emitir'!M9</f>
        <v>0</v>
      </c>
    </row>
    <row r="41" spans="2:17">
      <c r="B41" s="745"/>
      <c r="C41" s="749"/>
      <c r="D41" s="301" t="s">
        <v>123</v>
      </c>
      <c r="E41" s="60"/>
      <c r="F41" s="60">
        <f>'Deuda a emitir'!B10</f>
        <v>0</v>
      </c>
      <c r="G41" s="60" t="e">
        <f>'Deuda a emitir'!C10</f>
        <v>#DIV/0!</v>
      </c>
      <c r="H41" s="60" t="e">
        <f>'Deuda a emitir'!D10</f>
        <v>#DIV/0!</v>
      </c>
      <c r="I41" s="60" t="e">
        <f>'Deuda a emitir'!E10</f>
        <v>#DIV/0!</v>
      </c>
      <c r="J41" s="60" t="e">
        <f>'Deuda a emitir'!F10</f>
        <v>#DIV/0!</v>
      </c>
      <c r="K41" s="60" t="e">
        <f>'Deuda a emitir'!G10</f>
        <v>#DIV/0!</v>
      </c>
      <c r="L41" s="60" t="e">
        <f>'Deuda a emitir'!H10</f>
        <v>#DIV/0!</v>
      </c>
      <c r="M41" s="60" t="e">
        <f>'Deuda a emitir'!I10</f>
        <v>#DIV/0!</v>
      </c>
      <c r="N41" s="60" t="e">
        <f>'Deuda a emitir'!J10</f>
        <v>#DIV/0!</v>
      </c>
      <c r="O41" s="60" t="e">
        <f>'Deuda a emitir'!K10</f>
        <v>#DIV/0!</v>
      </c>
      <c r="P41" s="60" t="e">
        <f>'Deuda a emitir'!L10</f>
        <v>#DIV/0!</v>
      </c>
      <c r="Q41" s="287" t="e">
        <f>'Deuda a emitir'!M10</f>
        <v>#DIV/0!</v>
      </c>
    </row>
    <row r="42" spans="2:17">
      <c r="B42" s="745"/>
      <c r="C42" s="749"/>
      <c r="D42" s="302" t="s">
        <v>210</v>
      </c>
      <c r="E42" s="52"/>
      <c r="F42" s="52">
        <f>'Emisiones USD Bonos'!D11</f>
        <v>0</v>
      </c>
      <c r="G42" s="52" t="e">
        <f>'Emisiones USD Bonos'!E11</f>
        <v>#DIV/0!</v>
      </c>
      <c r="H42" s="52" t="e">
        <f>'Emisiones USD Bonos'!F11</f>
        <v>#DIV/0!</v>
      </c>
      <c r="I42" s="52" t="e">
        <f>'Emisiones USD Bonos'!G11</f>
        <v>#DIV/0!</v>
      </c>
      <c r="J42" s="52" t="e">
        <f>'Emisiones USD Bonos'!H11</f>
        <v>#DIV/0!</v>
      </c>
      <c r="K42" s="52" t="e">
        <f>'Emisiones USD Bonos'!I11</f>
        <v>#DIV/0!</v>
      </c>
      <c r="L42" s="52" t="e">
        <f>'Emisiones USD Bonos'!J11</f>
        <v>#DIV/0!</v>
      </c>
      <c r="M42" s="52" t="e">
        <f>'Emisiones USD Bonos'!K11</f>
        <v>#DIV/0!</v>
      </c>
      <c r="N42" s="52" t="e">
        <f>'Emisiones USD Bonos'!L11</f>
        <v>#DIV/0!</v>
      </c>
      <c r="O42" s="52" t="e">
        <f>'Emisiones USD Bonos'!M11</f>
        <v>#DIV/0!</v>
      </c>
      <c r="P42" s="52" t="e">
        <f>'Emisiones USD Bonos'!N11</f>
        <v>#DIV/0!</v>
      </c>
      <c r="Q42" s="286" t="e">
        <f>'Emisiones USD Bonos'!O11</f>
        <v>#DIV/0!</v>
      </c>
    </row>
    <row r="43" spans="2:17">
      <c r="B43" s="745"/>
      <c r="C43" s="749"/>
      <c r="D43" s="302" t="s">
        <v>211</v>
      </c>
      <c r="E43" s="52"/>
      <c r="F43" s="52">
        <f>'Emisiones USD Multil'!D11</f>
        <v>0</v>
      </c>
      <c r="G43" s="52" t="e">
        <f>'Emisiones USD Multil'!E11</f>
        <v>#DIV/0!</v>
      </c>
      <c r="H43" s="52" t="e">
        <f>'Emisiones USD Multil'!F11</f>
        <v>#DIV/0!</v>
      </c>
      <c r="I43" s="52" t="e">
        <f>'Emisiones USD Multil'!G11</f>
        <v>#DIV/0!</v>
      </c>
      <c r="J43" s="52" t="e">
        <f>'Emisiones USD Multil'!H11</f>
        <v>#DIV/0!</v>
      </c>
      <c r="K43" s="52" t="e">
        <f>'Emisiones USD Multil'!I11</f>
        <v>#DIV/0!</v>
      </c>
      <c r="L43" s="52" t="e">
        <f>'Emisiones USD Multil'!J11</f>
        <v>#DIV/0!</v>
      </c>
      <c r="M43" s="52" t="e">
        <f>'Emisiones USD Multil'!K11</f>
        <v>#DIV/0!</v>
      </c>
      <c r="N43" s="52" t="e">
        <f>'Emisiones USD Multil'!L11</f>
        <v>#DIV/0!</v>
      </c>
      <c r="O43" s="52" t="e">
        <f>'Emisiones USD Multil'!M11</f>
        <v>#DIV/0!</v>
      </c>
      <c r="P43" s="52" t="e">
        <f>'Emisiones USD Multil'!N11</f>
        <v>#DIV/0!</v>
      </c>
      <c r="Q43" s="286" t="e">
        <f>'Emisiones USD Multil'!O11</f>
        <v>#DIV/0!</v>
      </c>
    </row>
    <row r="44" spans="2:17">
      <c r="B44" s="746"/>
      <c r="C44" s="750"/>
      <c r="D44" s="303" t="s">
        <v>126</v>
      </c>
      <c r="E44" s="298"/>
      <c r="F44" s="298">
        <f>SUM(F40:F41)</f>
        <v>0</v>
      </c>
      <c r="G44" s="298" t="e">
        <f t="shared" ref="G44:Q44" si="20">SUM(G40:G41)</f>
        <v>#DIV/0!</v>
      </c>
      <c r="H44" s="298" t="e">
        <f t="shared" si="20"/>
        <v>#DIV/0!</v>
      </c>
      <c r="I44" s="298" t="e">
        <f t="shared" si="20"/>
        <v>#DIV/0!</v>
      </c>
      <c r="J44" s="298" t="e">
        <f t="shared" si="20"/>
        <v>#DIV/0!</v>
      </c>
      <c r="K44" s="298" t="e">
        <f t="shared" si="20"/>
        <v>#DIV/0!</v>
      </c>
      <c r="L44" s="298" t="e">
        <f t="shared" si="20"/>
        <v>#DIV/0!</v>
      </c>
      <c r="M44" s="298" t="e">
        <f t="shared" si="20"/>
        <v>#DIV/0!</v>
      </c>
      <c r="N44" s="298" t="e">
        <f t="shared" si="20"/>
        <v>#DIV/0!</v>
      </c>
      <c r="O44" s="298" t="e">
        <f t="shared" si="20"/>
        <v>#DIV/0!</v>
      </c>
      <c r="P44" s="298" t="e">
        <f t="shared" si="20"/>
        <v>#DIV/0!</v>
      </c>
      <c r="Q44" s="299" t="e">
        <f t="shared" si="20"/>
        <v>#DIV/0!</v>
      </c>
    </row>
    <row r="45" spans="2:17" ht="7" customHeight="1">
      <c r="E45" s="77"/>
      <c r="F45" s="77"/>
      <c r="G45" s="77"/>
      <c r="H45" s="77"/>
      <c r="I45" s="77"/>
      <c r="J45" s="77"/>
      <c r="K45" s="77"/>
      <c r="L45" s="77"/>
      <c r="M45" s="77"/>
      <c r="N45" s="77"/>
      <c r="O45" s="77"/>
      <c r="P45" s="77"/>
      <c r="Q45" s="77"/>
    </row>
    <row r="46" spans="2:17" ht="15" customHeight="1">
      <c r="B46" s="744" t="s">
        <v>127</v>
      </c>
      <c r="C46" s="738" t="s">
        <v>49</v>
      </c>
      <c r="D46" s="295" t="s">
        <v>122</v>
      </c>
      <c r="E46" s="329">
        <f>SALIDA!Y12</f>
        <v>462286.04243182403</v>
      </c>
      <c r="F46" s="296">
        <f>F47+F48</f>
        <v>462286.04243182403</v>
      </c>
      <c r="G46" s="296">
        <f>G47+G48</f>
        <v>462286.04243182403</v>
      </c>
      <c r="H46" s="296">
        <f t="shared" ref="H46:Q46" si="21">H47+H48</f>
        <v>462286.04243182403</v>
      </c>
      <c r="I46" s="296">
        <f t="shared" si="21"/>
        <v>462286.04243182403</v>
      </c>
      <c r="J46" s="296">
        <f t="shared" si="21"/>
        <v>462286.04243182403</v>
      </c>
      <c r="K46" s="296">
        <f t="shared" si="21"/>
        <v>462286.04243182403</v>
      </c>
      <c r="L46" s="296">
        <f t="shared" si="21"/>
        <v>462286.04243182403</v>
      </c>
      <c r="M46" s="296">
        <f t="shared" si="21"/>
        <v>462286.04243182403</v>
      </c>
      <c r="N46" s="296">
        <f t="shared" si="21"/>
        <v>462286.04243182403</v>
      </c>
      <c r="O46" s="296">
        <f t="shared" si="21"/>
        <v>462286.04243182403</v>
      </c>
      <c r="P46" s="296">
        <f t="shared" si="21"/>
        <v>462286.04243182403</v>
      </c>
      <c r="Q46" s="297">
        <f t="shared" si="21"/>
        <v>462286.04243182403</v>
      </c>
    </row>
    <row r="47" spans="2:17" ht="15" customHeight="1">
      <c r="B47" s="745"/>
      <c r="C47" s="739"/>
      <c r="D47" s="37" t="s">
        <v>52</v>
      </c>
      <c r="E47" s="409">
        <f>E46-E48</f>
        <v>306878.41343182407</v>
      </c>
      <c r="F47" s="52">
        <f>E47-F8</f>
        <v>306878.41343182407</v>
      </c>
      <c r="G47" s="52">
        <f>F47-G8</f>
        <v>306878.41343182407</v>
      </c>
      <c r="H47" s="52">
        <f t="shared" ref="H47:Q47" si="22">G47-H8</f>
        <v>306878.41343182407</v>
      </c>
      <c r="I47" s="52">
        <f t="shared" si="22"/>
        <v>306878.41343182407</v>
      </c>
      <c r="J47" s="52">
        <f t="shared" si="22"/>
        <v>306878.41343182407</v>
      </c>
      <c r="K47" s="52">
        <f t="shared" si="22"/>
        <v>306878.41343182407</v>
      </c>
      <c r="L47" s="52">
        <f t="shared" si="22"/>
        <v>306878.41343182407</v>
      </c>
      <c r="M47" s="52">
        <f t="shared" si="22"/>
        <v>306878.41343182407</v>
      </c>
      <c r="N47" s="52">
        <f t="shared" si="22"/>
        <v>306878.41343182407</v>
      </c>
      <c r="O47" s="52">
        <f t="shared" si="22"/>
        <v>306878.41343182407</v>
      </c>
      <c r="P47" s="52">
        <f>O47-P8</f>
        <v>306878.41343182407</v>
      </c>
      <c r="Q47" s="286">
        <f t="shared" si="22"/>
        <v>306878.41343182407</v>
      </c>
    </row>
    <row r="48" spans="2:17" ht="15" customHeight="1">
      <c r="B48" s="745"/>
      <c r="C48" s="739"/>
      <c r="D48" s="37" t="s">
        <v>53</v>
      </c>
      <c r="E48" s="409">
        <f>E69*Supuestos!E14/1000</f>
        <v>155407.62899999999</v>
      </c>
      <c r="F48" s="432">
        <f>F69*Supuestos!F14/1000</f>
        <v>155407.62899999999</v>
      </c>
      <c r="G48" s="432">
        <f>G69*Supuestos!G14/1000</f>
        <v>155407.62899999999</v>
      </c>
      <c r="H48" s="432">
        <f>H69*Supuestos!H14/1000</f>
        <v>155407.62899999999</v>
      </c>
      <c r="I48" s="432">
        <f>I69*Supuestos!I14/1000</f>
        <v>155407.62899999999</v>
      </c>
      <c r="J48" s="432">
        <f>J69*Supuestos!J14/1000</f>
        <v>155407.62899999999</v>
      </c>
      <c r="K48" s="432">
        <f>K69*Supuestos!K14/1000</f>
        <v>155407.62899999999</v>
      </c>
      <c r="L48" s="432">
        <f>L69*Supuestos!L14/1000</f>
        <v>155407.62899999999</v>
      </c>
      <c r="M48" s="432">
        <f>M69*Supuestos!M14/1000</f>
        <v>155407.62899999999</v>
      </c>
      <c r="N48" s="432">
        <f>N69*Supuestos!N14/1000</f>
        <v>155407.62899999999</v>
      </c>
      <c r="O48" s="432">
        <f>O69*Supuestos!O14/1000</f>
        <v>155407.62899999999</v>
      </c>
      <c r="P48" s="432">
        <f>P69*Supuestos!P14/1000</f>
        <v>155407.62899999999</v>
      </c>
      <c r="Q48" s="433">
        <f>Q69*Supuestos!Q14/1000</f>
        <v>155407.62899999999</v>
      </c>
    </row>
    <row r="49" spans="2:17">
      <c r="B49" s="745"/>
      <c r="C49" s="739"/>
      <c r="D49" s="35" t="s">
        <v>123</v>
      </c>
      <c r="E49" s="60"/>
      <c r="F49" s="60">
        <f t="shared" ref="F49" si="23">SUM(F50:F51)</f>
        <v>0</v>
      </c>
      <c r="G49" s="60" t="e">
        <f t="shared" ref="G49:Q49" si="24">SUM(G50:G51)</f>
        <v>#DIV/0!</v>
      </c>
      <c r="H49" s="60" t="e">
        <f t="shared" si="24"/>
        <v>#DIV/0!</v>
      </c>
      <c r="I49" s="60" t="e">
        <f t="shared" si="24"/>
        <v>#DIV/0!</v>
      </c>
      <c r="J49" s="60" t="e">
        <f t="shared" si="24"/>
        <v>#DIV/0!</v>
      </c>
      <c r="K49" s="60" t="e">
        <f t="shared" si="24"/>
        <v>#DIV/0!</v>
      </c>
      <c r="L49" s="60" t="e">
        <f t="shared" si="24"/>
        <v>#DIV/0!</v>
      </c>
      <c r="M49" s="60" t="e">
        <f t="shared" si="24"/>
        <v>#DIV/0!</v>
      </c>
      <c r="N49" s="60" t="e">
        <f t="shared" si="24"/>
        <v>#DIV/0!</v>
      </c>
      <c r="O49" s="60" t="e">
        <f t="shared" si="24"/>
        <v>#DIV/0!</v>
      </c>
      <c r="P49" s="60" t="e">
        <f t="shared" si="24"/>
        <v>#DIV/0!</v>
      </c>
      <c r="Q49" s="287" t="e">
        <f t="shared" si="24"/>
        <v>#DIV/0!</v>
      </c>
    </row>
    <row r="50" spans="2:17">
      <c r="B50" s="745"/>
      <c r="C50" s="739"/>
      <c r="D50" s="37" t="s">
        <v>52</v>
      </c>
      <c r="E50" s="52"/>
      <c r="F50" s="52">
        <f>SUM($F14:F14)-SUM($F11:F11)</f>
        <v>0</v>
      </c>
      <c r="G50" s="52" t="e">
        <f>SUM($F14:G14)-SUM($F11:G11)</f>
        <v>#DIV/0!</v>
      </c>
      <c r="H50" s="52" t="e">
        <f>SUM($F14:H14)-SUM($F11:H11)</f>
        <v>#DIV/0!</v>
      </c>
      <c r="I50" s="52" t="e">
        <f>SUM($F14:I14)-SUM($F11:I11)</f>
        <v>#DIV/0!</v>
      </c>
      <c r="J50" s="52" t="e">
        <f>SUM($F14:J14)-SUM($F11:J11)</f>
        <v>#DIV/0!</v>
      </c>
      <c r="K50" s="52" t="e">
        <f>SUM($F14:K14)-SUM($F11:K11)</f>
        <v>#DIV/0!</v>
      </c>
      <c r="L50" s="52" t="e">
        <f>SUM($F14:L14)-SUM($F11:L11)</f>
        <v>#DIV/0!</v>
      </c>
      <c r="M50" s="52" t="e">
        <f>SUM($F14:M14)-SUM($F11:M11)</f>
        <v>#DIV/0!</v>
      </c>
      <c r="N50" s="52" t="e">
        <f>SUM($F14:N14)-SUM($F11:N11)</f>
        <v>#DIV/0!</v>
      </c>
      <c r="O50" s="52" t="e">
        <f>SUM($F14:O14)-SUM($F11:O11)</f>
        <v>#DIV/0!</v>
      </c>
      <c r="P50" s="52" t="e">
        <f>SUM($F14:P14)-SUM($F11:P11)</f>
        <v>#DIV/0!</v>
      </c>
      <c r="Q50" s="286" t="e">
        <f>SUM($F14:Q14)-SUM($F11:Q11)</f>
        <v>#DIV/0!</v>
      </c>
    </row>
    <row r="51" spans="2:17">
      <c r="B51" s="745"/>
      <c r="C51" s="739"/>
      <c r="D51" s="37" t="s">
        <v>53</v>
      </c>
      <c r="E51" s="52"/>
      <c r="F51" s="52">
        <f>F70*Supuestos!F14/1000</f>
        <v>0</v>
      </c>
      <c r="G51" s="52" t="e">
        <f>G70*Supuestos!G14/1000</f>
        <v>#DIV/0!</v>
      </c>
      <c r="H51" s="52" t="e">
        <f>H70*Supuestos!H14/1000</f>
        <v>#DIV/0!</v>
      </c>
      <c r="I51" s="52" t="e">
        <f>I70*Supuestos!I14/1000</f>
        <v>#DIV/0!</v>
      </c>
      <c r="J51" s="52" t="e">
        <f>J70*Supuestos!J14/1000</f>
        <v>#DIV/0!</v>
      </c>
      <c r="K51" s="52" t="e">
        <f>K70*Supuestos!K14/1000</f>
        <v>#DIV/0!</v>
      </c>
      <c r="L51" s="52" t="e">
        <f>L70*Supuestos!L14/1000</f>
        <v>#DIV/0!</v>
      </c>
      <c r="M51" s="52" t="e">
        <f>M70*Supuestos!M14/1000</f>
        <v>#DIV/0!</v>
      </c>
      <c r="N51" s="52" t="e">
        <f>N70*Supuestos!N14/1000</f>
        <v>#DIV/0!</v>
      </c>
      <c r="O51" s="52" t="e">
        <f>O70*Supuestos!O14/1000</f>
        <v>#DIV/0!</v>
      </c>
      <c r="P51" s="52" t="e">
        <f>P70*Supuestos!P14/1000</f>
        <v>#DIV/0!</v>
      </c>
      <c r="Q51" s="286" t="e">
        <f>Q70*Supuestos!Q14/1000</f>
        <v>#DIV/0!</v>
      </c>
    </row>
    <row r="52" spans="2:17">
      <c r="B52" s="745"/>
      <c r="C52" s="739"/>
      <c r="D52" s="35" t="s">
        <v>128</v>
      </c>
      <c r="E52" s="60"/>
      <c r="F52" s="60">
        <v>0</v>
      </c>
      <c r="G52" s="60">
        <v>0</v>
      </c>
      <c r="H52" s="60">
        <v>0</v>
      </c>
      <c r="I52" s="60">
        <v>0</v>
      </c>
      <c r="J52" s="60">
        <v>0</v>
      </c>
      <c r="K52" s="60">
        <v>0</v>
      </c>
      <c r="L52" s="60">
        <v>0</v>
      </c>
      <c r="M52" s="60">
        <v>0</v>
      </c>
      <c r="N52" s="60">
        <v>0</v>
      </c>
      <c r="O52" s="60">
        <v>0</v>
      </c>
      <c r="P52" s="60">
        <v>0</v>
      </c>
      <c r="Q52" s="287">
        <v>0</v>
      </c>
    </row>
    <row r="53" spans="2:17">
      <c r="B53" s="745"/>
      <c r="C53" s="740"/>
      <c r="D53" s="333" t="s">
        <v>144</v>
      </c>
      <c r="E53" s="334">
        <f>E46+E49+E52</f>
        <v>462286.04243182403</v>
      </c>
      <c r="F53" s="334">
        <f>F46+F49</f>
        <v>462286.04243182403</v>
      </c>
      <c r="G53" s="334" t="e">
        <f t="shared" ref="G53:Q53" si="25">G46+G49</f>
        <v>#DIV/0!</v>
      </c>
      <c r="H53" s="334" t="e">
        <f t="shared" si="25"/>
        <v>#DIV/0!</v>
      </c>
      <c r="I53" s="334" t="e">
        <f t="shared" si="25"/>
        <v>#DIV/0!</v>
      </c>
      <c r="J53" s="334" t="e">
        <f t="shared" si="25"/>
        <v>#DIV/0!</v>
      </c>
      <c r="K53" s="334" t="e">
        <f t="shared" si="25"/>
        <v>#DIV/0!</v>
      </c>
      <c r="L53" s="334" t="e">
        <f t="shared" si="25"/>
        <v>#DIV/0!</v>
      </c>
      <c r="M53" s="334" t="e">
        <f t="shared" si="25"/>
        <v>#DIV/0!</v>
      </c>
      <c r="N53" s="334" t="e">
        <f t="shared" si="25"/>
        <v>#DIV/0!</v>
      </c>
      <c r="O53" s="334" t="e">
        <f t="shared" si="25"/>
        <v>#DIV/0!</v>
      </c>
      <c r="P53" s="334" t="e">
        <f t="shared" si="25"/>
        <v>#DIV/0!</v>
      </c>
      <c r="Q53" s="335" t="e">
        <f t="shared" si="25"/>
        <v>#DIV/0!</v>
      </c>
    </row>
    <row r="54" spans="2:17">
      <c r="B54" s="745"/>
      <c r="C54" s="738" t="s">
        <v>50</v>
      </c>
      <c r="D54" s="295" t="s">
        <v>122</v>
      </c>
      <c r="E54" s="329">
        <f>SALIDA!Y13</f>
        <v>365470.27352265501</v>
      </c>
      <c r="F54" s="296" t="e">
        <f>+F58*Supuestos!F15/1000</f>
        <v>#DIV/0!</v>
      </c>
      <c r="G54" s="296" t="e">
        <f>+G58*Supuestos!G15/1000</f>
        <v>#DIV/0!</v>
      </c>
      <c r="H54" s="296" t="e">
        <f>+H58*Supuestos!H15/1000</f>
        <v>#DIV/0!</v>
      </c>
      <c r="I54" s="296" t="e">
        <f>+I58*Supuestos!I15/1000</f>
        <v>#DIV/0!</v>
      </c>
      <c r="J54" s="296" t="e">
        <f>+J58*Supuestos!J15/1000</f>
        <v>#DIV/0!</v>
      </c>
      <c r="K54" s="296" t="e">
        <f>+K58*Supuestos!K15/1000</f>
        <v>#DIV/0!</v>
      </c>
      <c r="L54" s="296" t="e">
        <f>+L58*Supuestos!L15/1000</f>
        <v>#DIV/0!</v>
      </c>
      <c r="M54" s="296" t="e">
        <f>+M58*Supuestos!M15/1000</f>
        <v>#DIV/0!</v>
      </c>
      <c r="N54" s="296" t="e">
        <f>+N58*Supuestos!N15/1000</f>
        <v>#DIV/0!</v>
      </c>
      <c r="O54" s="296" t="e">
        <f>+O58*Supuestos!O15/1000</f>
        <v>#DIV/0!</v>
      </c>
      <c r="P54" s="296" t="e">
        <f>+P58*Supuestos!P15/1000</f>
        <v>#DIV/0!</v>
      </c>
      <c r="Q54" s="297" t="e">
        <f>+Q58*Supuestos!Q15/1000</f>
        <v>#DIV/0!</v>
      </c>
    </row>
    <row r="55" spans="2:17">
      <c r="B55" s="745"/>
      <c r="C55" s="739"/>
      <c r="D55" s="35" t="s">
        <v>123</v>
      </c>
      <c r="E55" s="60"/>
      <c r="F55" s="60" t="e">
        <f>+F59*Supuestos!F15/1000</f>
        <v>#DIV/0!</v>
      </c>
      <c r="G55" s="60" t="e">
        <f>+G59*Supuestos!G15/1000</f>
        <v>#DIV/0!</v>
      </c>
      <c r="H55" s="60" t="e">
        <f>+H59*Supuestos!H15/1000</f>
        <v>#DIV/0!</v>
      </c>
      <c r="I55" s="60" t="e">
        <f>+I59*Supuestos!I15/1000</f>
        <v>#DIV/0!</v>
      </c>
      <c r="J55" s="60" t="e">
        <f>+J59*Supuestos!J15/1000</f>
        <v>#DIV/0!</v>
      </c>
      <c r="K55" s="60" t="e">
        <f>+K59*Supuestos!K15/1000</f>
        <v>#DIV/0!</v>
      </c>
      <c r="L55" s="60" t="e">
        <f>+L59*Supuestos!L15/1000</f>
        <v>#DIV/0!</v>
      </c>
      <c r="M55" s="60" t="e">
        <f>+M59*Supuestos!M15/1000</f>
        <v>#DIV/0!</v>
      </c>
      <c r="N55" s="60" t="e">
        <f>+N59*Supuestos!N15/1000</f>
        <v>#DIV/0!</v>
      </c>
      <c r="O55" s="60" t="e">
        <f>+O59*Supuestos!O15/1000</f>
        <v>#DIV/0!</v>
      </c>
      <c r="P55" s="60" t="e">
        <f>+P59*Supuestos!P15/1000</f>
        <v>#DIV/0!</v>
      </c>
      <c r="Q55" s="287" t="e">
        <f>+Q59*Supuestos!Q15/1000</f>
        <v>#DIV/0!</v>
      </c>
    </row>
    <row r="56" spans="2:17">
      <c r="B56" s="746"/>
      <c r="C56" s="740"/>
      <c r="D56" s="333" t="s">
        <v>145</v>
      </c>
      <c r="E56" s="334">
        <f t="shared" ref="E56:Q56" si="26">+SUM(E54:E55)</f>
        <v>365470.27352265501</v>
      </c>
      <c r="F56" s="334" t="e">
        <f t="shared" si="26"/>
        <v>#DIV/0!</v>
      </c>
      <c r="G56" s="334" t="e">
        <f t="shared" si="26"/>
        <v>#DIV/0!</v>
      </c>
      <c r="H56" s="334" t="e">
        <f t="shared" si="26"/>
        <v>#DIV/0!</v>
      </c>
      <c r="I56" s="334" t="e">
        <f t="shared" si="26"/>
        <v>#DIV/0!</v>
      </c>
      <c r="J56" s="334" t="e">
        <f t="shared" si="26"/>
        <v>#DIV/0!</v>
      </c>
      <c r="K56" s="334" t="e">
        <f t="shared" si="26"/>
        <v>#DIV/0!</v>
      </c>
      <c r="L56" s="334" t="e">
        <f t="shared" si="26"/>
        <v>#DIV/0!</v>
      </c>
      <c r="M56" s="334" t="e">
        <f t="shared" si="26"/>
        <v>#DIV/0!</v>
      </c>
      <c r="N56" s="334" t="e">
        <f t="shared" si="26"/>
        <v>#DIV/0!</v>
      </c>
      <c r="O56" s="334" t="e">
        <f t="shared" si="26"/>
        <v>#DIV/0!</v>
      </c>
      <c r="P56" s="334" t="e">
        <f t="shared" si="26"/>
        <v>#DIV/0!</v>
      </c>
      <c r="Q56" s="335" t="e">
        <f t="shared" si="26"/>
        <v>#DIV/0!</v>
      </c>
    </row>
    <row r="57" spans="2:17" ht="7" customHeight="1"/>
    <row r="58" spans="2:17" ht="15" customHeight="1">
      <c r="B58" s="732" t="s">
        <v>259</v>
      </c>
      <c r="C58" s="735" t="s">
        <v>50</v>
      </c>
      <c r="D58" s="336" t="s">
        <v>122</v>
      </c>
      <c r="E58" s="337">
        <v>75978.186670544994</v>
      </c>
      <c r="F58" s="305" t="e">
        <f>E58-F62</f>
        <v>#DIV/0!</v>
      </c>
      <c r="G58" s="305" t="e">
        <f t="shared" ref="G58:Q58" si="27">F58-G62</f>
        <v>#DIV/0!</v>
      </c>
      <c r="H58" s="305" t="e">
        <f t="shared" si="27"/>
        <v>#DIV/0!</v>
      </c>
      <c r="I58" s="305" t="e">
        <f t="shared" si="27"/>
        <v>#DIV/0!</v>
      </c>
      <c r="J58" s="305" t="e">
        <f t="shared" si="27"/>
        <v>#DIV/0!</v>
      </c>
      <c r="K58" s="305" t="e">
        <f t="shared" si="27"/>
        <v>#DIV/0!</v>
      </c>
      <c r="L58" s="305" t="e">
        <f t="shared" si="27"/>
        <v>#DIV/0!</v>
      </c>
      <c r="M58" s="305" t="e">
        <f t="shared" si="27"/>
        <v>#DIV/0!</v>
      </c>
      <c r="N58" s="305" t="e">
        <f t="shared" si="27"/>
        <v>#DIV/0!</v>
      </c>
      <c r="O58" s="305" t="e">
        <f t="shared" si="27"/>
        <v>#DIV/0!</v>
      </c>
      <c r="P58" s="305" t="e">
        <f>O58-P62</f>
        <v>#DIV/0!</v>
      </c>
      <c r="Q58" s="306" t="e">
        <f t="shared" si="27"/>
        <v>#DIV/0!</v>
      </c>
    </row>
    <row r="59" spans="2:17">
      <c r="B59" s="733"/>
      <c r="C59" s="736"/>
      <c r="D59" s="37" t="s">
        <v>123</v>
      </c>
      <c r="E59" s="443"/>
      <c r="F59" s="52" t="e">
        <f>+F63-F64</f>
        <v>#DIV/0!</v>
      </c>
      <c r="G59" s="52" t="e">
        <f>F59+G63-G64</f>
        <v>#DIV/0!</v>
      </c>
      <c r="H59" s="52" t="e">
        <f t="shared" ref="H59:Q59" si="28">G59+H63-H64</f>
        <v>#DIV/0!</v>
      </c>
      <c r="I59" s="52" t="e">
        <f t="shared" si="28"/>
        <v>#DIV/0!</v>
      </c>
      <c r="J59" s="52" t="e">
        <f t="shared" si="28"/>
        <v>#DIV/0!</v>
      </c>
      <c r="K59" s="52" t="e">
        <f t="shared" si="28"/>
        <v>#DIV/0!</v>
      </c>
      <c r="L59" s="52" t="e">
        <f t="shared" si="28"/>
        <v>#DIV/0!</v>
      </c>
      <c r="M59" s="52" t="e">
        <f t="shared" si="28"/>
        <v>#DIV/0!</v>
      </c>
      <c r="N59" s="52" t="e">
        <f t="shared" si="28"/>
        <v>#DIV/0!</v>
      </c>
      <c r="O59" s="52" t="e">
        <f t="shared" si="28"/>
        <v>#DIV/0!</v>
      </c>
      <c r="P59" s="52" t="e">
        <f>O59+P63-P64</f>
        <v>#DIV/0!</v>
      </c>
      <c r="Q59" s="286" t="e">
        <f t="shared" si="28"/>
        <v>#DIV/0!</v>
      </c>
    </row>
    <row r="60" spans="2:17">
      <c r="B60" s="733"/>
      <c r="C60" s="736"/>
      <c r="D60" s="37" t="s">
        <v>133</v>
      </c>
      <c r="E60" s="52"/>
      <c r="F60" s="52">
        <v>0</v>
      </c>
      <c r="G60" s="52">
        <v>0</v>
      </c>
      <c r="H60" s="52">
        <v>0</v>
      </c>
      <c r="I60" s="52">
        <v>0</v>
      </c>
      <c r="J60" s="52">
        <v>0</v>
      </c>
      <c r="K60" s="52">
        <v>0</v>
      </c>
      <c r="L60" s="52">
        <v>0</v>
      </c>
      <c r="M60" s="52">
        <v>0</v>
      </c>
      <c r="N60" s="52">
        <v>0</v>
      </c>
      <c r="O60" s="52">
        <v>0</v>
      </c>
      <c r="P60" s="52">
        <v>0</v>
      </c>
      <c r="Q60" s="286">
        <v>0</v>
      </c>
    </row>
    <row r="61" spans="2:17">
      <c r="B61" s="733"/>
      <c r="C61" s="736"/>
      <c r="D61" s="330" t="s">
        <v>145</v>
      </c>
      <c r="E61" s="331">
        <f>+SUM(E58:E60)</f>
        <v>75978.186670544994</v>
      </c>
      <c r="F61" s="331" t="e">
        <f>+SUM(F58:F60)</f>
        <v>#DIV/0!</v>
      </c>
      <c r="G61" s="331" t="e">
        <f t="shared" ref="G61:P61" si="29">+SUM(G58:G60)</f>
        <v>#DIV/0!</v>
      </c>
      <c r="H61" s="331" t="e">
        <f t="shared" si="29"/>
        <v>#DIV/0!</v>
      </c>
      <c r="I61" s="331" t="e">
        <f t="shared" si="29"/>
        <v>#DIV/0!</v>
      </c>
      <c r="J61" s="331" t="e">
        <f t="shared" si="29"/>
        <v>#DIV/0!</v>
      </c>
      <c r="K61" s="331" t="e">
        <f t="shared" si="29"/>
        <v>#DIV/0!</v>
      </c>
      <c r="L61" s="331" t="e">
        <f t="shared" si="29"/>
        <v>#DIV/0!</v>
      </c>
      <c r="M61" s="331" t="e">
        <f t="shared" si="29"/>
        <v>#DIV/0!</v>
      </c>
      <c r="N61" s="331" t="e">
        <f t="shared" si="29"/>
        <v>#DIV/0!</v>
      </c>
      <c r="O61" s="331" t="e">
        <f t="shared" si="29"/>
        <v>#DIV/0!</v>
      </c>
      <c r="P61" s="331" t="e">
        <f t="shared" si="29"/>
        <v>#DIV/0!</v>
      </c>
      <c r="Q61" s="332" t="e">
        <f t="shared" ref="Q61" si="30">+SUM(Q58:Q60)</f>
        <v>#DIV/0!</v>
      </c>
    </row>
    <row r="62" spans="2:17">
      <c r="B62" s="733"/>
      <c r="C62" s="736"/>
      <c r="D62" s="37" t="s">
        <v>171</v>
      </c>
      <c r="E62" s="57">
        <f>('Emisiones USD Bonos'!C8+'Emisiones USD Multil'!C8)*1000</f>
        <v>0</v>
      </c>
      <c r="F62" s="57" t="e">
        <f>('Emisiones USD Bonos'!D8+'Emisiones USD Multil'!D8)*1000</f>
        <v>#DIV/0!</v>
      </c>
      <c r="G62" s="57" t="e">
        <f>('Emisiones USD Bonos'!E8+'Emisiones USD Multil'!E8)*1000</f>
        <v>#DIV/0!</v>
      </c>
      <c r="H62" s="57" t="e">
        <f>('Emisiones USD Bonos'!F8+'Emisiones USD Multil'!F8)*1000</f>
        <v>#DIV/0!</v>
      </c>
      <c r="I62" s="57" t="e">
        <f>('Emisiones USD Bonos'!G8+'Emisiones USD Multil'!G8)*1000</f>
        <v>#DIV/0!</v>
      </c>
      <c r="J62" s="57" t="e">
        <f>('Emisiones USD Bonos'!H8+'Emisiones USD Multil'!H8)*1000</f>
        <v>#DIV/0!</v>
      </c>
      <c r="K62" s="57" t="e">
        <f>('Emisiones USD Bonos'!I8+'Emisiones USD Multil'!I8)*1000</f>
        <v>#DIV/0!</v>
      </c>
      <c r="L62" s="57" t="e">
        <f>('Emisiones USD Bonos'!J8+'Emisiones USD Multil'!J8)*1000</f>
        <v>#DIV/0!</v>
      </c>
      <c r="M62" s="57" t="e">
        <f>('Emisiones USD Bonos'!K8+'Emisiones USD Multil'!K8)*1000</f>
        <v>#DIV/0!</v>
      </c>
      <c r="N62" s="57" t="e">
        <f>('Emisiones USD Bonos'!L8+'Emisiones USD Multil'!L8)*1000</f>
        <v>#DIV/0!</v>
      </c>
      <c r="O62" s="57" t="e">
        <f>('Emisiones USD Bonos'!M8+'Emisiones USD Multil'!M8)*1000</f>
        <v>#DIV/0!</v>
      </c>
      <c r="P62" s="57" t="e">
        <f>('Emisiones USD Bonos'!N8+'Emisiones USD Multil'!N8)*1000</f>
        <v>#DIV/0!</v>
      </c>
      <c r="Q62" s="291" t="e">
        <f>('Emisiones USD Bonos'!O8+'Emisiones USD Multil'!O8)*1000</f>
        <v>#DIV/0!</v>
      </c>
    </row>
    <row r="63" spans="2:17">
      <c r="B63" s="733"/>
      <c r="C63" s="736"/>
      <c r="D63" s="37" t="s">
        <v>181</v>
      </c>
      <c r="E63" s="52">
        <f>('Emisiones USD Bonos'!C9+'Emisiones USD Multil'!C9)*1000</f>
        <v>0</v>
      </c>
      <c r="F63" s="52" t="e">
        <f>('Emisiones USD Bonos'!D9+'Emisiones USD Multil'!D9)*1000</f>
        <v>#DIV/0!</v>
      </c>
      <c r="G63" s="52" t="e">
        <f>('Emisiones USD Bonos'!E9+'Emisiones USD Multil'!E9)*1000</f>
        <v>#DIV/0!</v>
      </c>
      <c r="H63" s="52" t="e">
        <f>('Emisiones USD Bonos'!F9+'Emisiones USD Multil'!F9)*1000</f>
        <v>#DIV/0!</v>
      </c>
      <c r="I63" s="52" t="e">
        <f>('Emisiones USD Bonos'!G9+'Emisiones USD Multil'!G9)*1000</f>
        <v>#DIV/0!</v>
      </c>
      <c r="J63" s="52" t="e">
        <f>('Emisiones USD Bonos'!H9+'Emisiones USD Multil'!H9)*1000</f>
        <v>#DIV/0!</v>
      </c>
      <c r="K63" s="52" t="e">
        <f>('Emisiones USD Bonos'!I9+'Emisiones USD Multil'!I9)*1000</f>
        <v>#DIV/0!</v>
      </c>
      <c r="L63" s="52" t="e">
        <f>('Emisiones USD Bonos'!J9+'Emisiones USD Multil'!J9)*1000</f>
        <v>#DIV/0!</v>
      </c>
      <c r="M63" s="52" t="e">
        <f>('Emisiones USD Bonos'!K9+'Emisiones USD Multil'!K9)*1000</f>
        <v>#DIV/0!</v>
      </c>
      <c r="N63" s="52" t="e">
        <f>('Emisiones USD Bonos'!L9+'Emisiones USD Multil'!L9)*1000</f>
        <v>#DIV/0!</v>
      </c>
      <c r="O63" s="52" t="e">
        <f>('Emisiones USD Bonos'!M9+'Emisiones USD Multil'!M9)*1000</f>
        <v>#DIV/0!</v>
      </c>
      <c r="P63" s="52" t="e">
        <f>('Emisiones USD Bonos'!N9+'Emisiones USD Multil'!N9)*1000</f>
        <v>#DIV/0!</v>
      </c>
      <c r="Q63" s="286" t="e">
        <f>('Emisiones USD Bonos'!O9+'Emisiones USD Multil'!O9)*1000</f>
        <v>#DIV/0!</v>
      </c>
    </row>
    <row r="64" spans="2:17">
      <c r="B64" s="733"/>
      <c r="C64" s="736"/>
      <c r="D64" s="37" t="s">
        <v>138</v>
      </c>
      <c r="E64" s="52">
        <f>('Emisiones USD Bonos'!C14+'Emisiones USD Multil'!C14)*1000</f>
        <v>0</v>
      </c>
      <c r="F64" s="52">
        <f>('Emisiones USD Bonos'!D14+'Emisiones USD Multil'!D14)*1000</f>
        <v>0</v>
      </c>
      <c r="G64" s="52">
        <f>('Emisiones USD Bonos'!E14+'Emisiones USD Multil'!E14)*1000</f>
        <v>0</v>
      </c>
      <c r="H64" s="52">
        <f>('Emisiones USD Bonos'!F14+'Emisiones USD Multil'!F14)*1000</f>
        <v>0</v>
      </c>
      <c r="I64" s="52">
        <f>('Emisiones USD Bonos'!G14+'Emisiones USD Multil'!G14)*1000</f>
        <v>0</v>
      </c>
      <c r="J64" s="52">
        <f>('Emisiones USD Bonos'!H14+'Emisiones USD Multil'!H14)*1000</f>
        <v>0</v>
      </c>
      <c r="K64" s="52" t="e">
        <f>('Emisiones USD Bonos'!I14+'Emisiones USD Multil'!I14)*1000</f>
        <v>#DIV/0!</v>
      </c>
      <c r="L64" s="52" t="e">
        <f>('Emisiones USD Bonos'!J14+'Emisiones USD Multil'!J14)*1000</f>
        <v>#DIV/0!</v>
      </c>
      <c r="M64" s="52" t="e">
        <f>('Emisiones USD Bonos'!K14+'Emisiones USD Multil'!K14)*1000</f>
        <v>#DIV/0!</v>
      </c>
      <c r="N64" s="52" t="e">
        <f>('Emisiones USD Bonos'!L14+'Emisiones USD Multil'!L14)*1000</f>
        <v>#DIV/0!</v>
      </c>
      <c r="O64" s="52" t="e">
        <f>('Emisiones USD Bonos'!M14+'Emisiones USD Multil'!M14)*1000</f>
        <v>#DIV/0!</v>
      </c>
      <c r="P64" s="52" t="e">
        <f>('Emisiones USD Bonos'!N14+'Emisiones USD Multil'!N14)*1000</f>
        <v>#DIV/0!</v>
      </c>
      <c r="Q64" s="286" t="e">
        <f>('Emisiones USD Bonos'!O14+'Emisiones USD Multil'!O14)*1000</f>
        <v>#DIV/0!</v>
      </c>
    </row>
    <row r="65" spans="2:17">
      <c r="B65" s="733"/>
      <c r="C65" s="736"/>
      <c r="D65" s="35" t="s">
        <v>182</v>
      </c>
      <c r="E65" s="60">
        <f>+E63-E62-E64</f>
        <v>0</v>
      </c>
      <c r="F65" s="60" t="e">
        <f t="shared" ref="F65:Q65" si="31">+F63-F62-F64</f>
        <v>#DIV/0!</v>
      </c>
      <c r="G65" s="60" t="e">
        <f t="shared" si="31"/>
        <v>#DIV/0!</v>
      </c>
      <c r="H65" s="60" t="e">
        <f t="shared" si="31"/>
        <v>#DIV/0!</v>
      </c>
      <c r="I65" s="60" t="e">
        <f t="shared" si="31"/>
        <v>#DIV/0!</v>
      </c>
      <c r="J65" s="60" t="e">
        <f t="shared" si="31"/>
        <v>#DIV/0!</v>
      </c>
      <c r="K65" s="60" t="e">
        <f t="shared" si="31"/>
        <v>#DIV/0!</v>
      </c>
      <c r="L65" s="60" t="e">
        <f t="shared" si="31"/>
        <v>#DIV/0!</v>
      </c>
      <c r="M65" s="60" t="e">
        <f t="shared" si="31"/>
        <v>#DIV/0!</v>
      </c>
      <c r="N65" s="60" t="e">
        <f t="shared" si="31"/>
        <v>#DIV/0!</v>
      </c>
      <c r="O65" s="60" t="e">
        <f t="shared" si="31"/>
        <v>#DIV/0!</v>
      </c>
      <c r="P65" s="60" t="e">
        <f>+P63-P62-P64</f>
        <v>#DIV/0!</v>
      </c>
      <c r="Q65" s="287" t="e">
        <f t="shared" si="31"/>
        <v>#DIV/0!</v>
      </c>
    </row>
    <row r="66" spans="2:17">
      <c r="B66" s="734"/>
      <c r="C66" s="737"/>
      <c r="D66" s="288" t="s">
        <v>183</v>
      </c>
      <c r="E66" s="289">
        <f>SALIDA!Y31*1000/Supuestos!E17</f>
        <v>2594.4264733731134</v>
      </c>
      <c r="F66" s="289" t="e">
        <f>SALIDA!Z31*1000/Supuestos!F17</f>
        <v>#DIV/0!</v>
      </c>
      <c r="G66" s="289" t="e">
        <f>SALIDA!AA31*1000/Supuestos!G17</f>
        <v>#DIV/0!</v>
      </c>
      <c r="H66" s="289" t="e">
        <f>SALIDA!AB31*1000/Supuestos!H17</f>
        <v>#DIV/0!</v>
      </c>
      <c r="I66" s="289" t="e">
        <f>SALIDA!AC31*1000/Supuestos!I17</f>
        <v>#DIV/0!</v>
      </c>
      <c r="J66" s="289" t="e">
        <f>SALIDA!AD31*1000/Supuestos!J17</f>
        <v>#DIV/0!</v>
      </c>
      <c r="K66" s="289" t="e">
        <f>SALIDA!AE31*1000/Supuestos!K17</f>
        <v>#DIV/0!</v>
      </c>
      <c r="L66" s="289" t="e">
        <f>SALIDA!AF31*1000/Supuestos!L17</f>
        <v>#DIV/0!</v>
      </c>
      <c r="M66" s="289" t="e">
        <f>SALIDA!AG31*1000/Supuestos!M17</f>
        <v>#DIV/0!</v>
      </c>
      <c r="N66" s="289" t="e">
        <f>SALIDA!AH31*1000/Supuestos!N17</f>
        <v>#DIV/0!</v>
      </c>
      <c r="O66" s="289" t="e">
        <f>SALIDA!AI31*1000/Supuestos!O17</f>
        <v>#DIV/0!</v>
      </c>
      <c r="P66" s="289" t="e">
        <f>SALIDA!AJ31*1000/Supuestos!P17</f>
        <v>#DIV/0!</v>
      </c>
      <c r="Q66" s="290" t="e">
        <f>SALIDA!AK31*1000/Supuestos!Q17</f>
        <v>#DIV/0!</v>
      </c>
    </row>
    <row r="68" spans="2:17">
      <c r="E68" s="77"/>
      <c r="F68" s="77"/>
      <c r="G68" s="77"/>
      <c r="H68" s="77"/>
      <c r="I68" s="77"/>
      <c r="J68" s="77"/>
      <c r="K68" s="77"/>
      <c r="L68" s="77"/>
      <c r="M68" s="77"/>
      <c r="N68" s="77"/>
      <c r="O68" s="77"/>
      <c r="P68" s="77"/>
      <c r="Q68" s="77"/>
    </row>
    <row r="69" spans="2:17">
      <c r="B69" s="732" t="s">
        <v>260</v>
      </c>
      <c r="C69" s="735" t="s">
        <v>261</v>
      </c>
      <c r="D69" s="336" t="s">
        <v>269</v>
      </c>
      <c r="E69" s="337">
        <f xml:space="preserve"> 155407629 /Supuestos!E14</f>
        <v>479071.63618977333</v>
      </c>
      <c r="F69" s="410">
        <f>E69-F73</f>
        <v>479071.63618977333</v>
      </c>
      <c r="G69" s="305">
        <f t="shared" ref="G69" si="32">F69-G73</f>
        <v>479071.63618977333</v>
      </c>
      <c r="H69" s="305">
        <f t="shared" ref="H69" si="33">G69-H73</f>
        <v>479071.63618977333</v>
      </c>
      <c r="I69" s="305">
        <f t="shared" ref="I69" si="34">H69-I73</f>
        <v>479071.63618977333</v>
      </c>
      <c r="J69" s="305">
        <f t="shared" ref="J69" si="35">I69-J73</f>
        <v>479071.63618977333</v>
      </c>
      <c r="K69" s="305">
        <f t="shared" ref="K69" si="36">J69-K73</f>
        <v>479071.63618977333</v>
      </c>
      <c r="L69" s="305">
        <f t="shared" ref="L69" si="37">K69-L73</f>
        <v>479071.63618977333</v>
      </c>
      <c r="M69" s="305">
        <f t="shared" ref="M69" si="38">L69-M73</f>
        <v>479071.63618977333</v>
      </c>
      <c r="N69" s="305">
        <f t="shared" ref="N69" si="39">M69-N73</f>
        <v>479071.63618977333</v>
      </c>
      <c r="O69" s="305">
        <f t="shared" ref="O69" si="40">N69-O73</f>
        <v>479071.63618977333</v>
      </c>
      <c r="P69" s="305">
        <f>O69-P73</f>
        <v>479071.63618977333</v>
      </c>
      <c r="Q69" s="306">
        <f t="shared" ref="Q69" si="41">P69-Q73</f>
        <v>479071.63618977333</v>
      </c>
    </row>
    <row r="70" spans="2:17">
      <c r="B70" s="733"/>
      <c r="C70" s="736"/>
      <c r="D70" s="37" t="s">
        <v>123</v>
      </c>
      <c r="E70" s="52"/>
      <c r="F70" s="52">
        <f>+F74-F75</f>
        <v>0</v>
      </c>
      <c r="G70" s="52" t="e">
        <f t="shared" ref="G70" si="42">F70+G74-G75</f>
        <v>#DIV/0!</v>
      </c>
      <c r="H70" s="52" t="e">
        <f t="shared" ref="H70" si="43">G70+H74-H75</f>
        <v>#DIV/0!</v>
      </c>
      <c r="I70" s="52" t="e">
        <f t="shared" ref="I70" si="44">H70+I74-I75</f>
        <v>#DIV/0!</v>
      </c>
      <c r="J70" s="52" t="e">
        <f t="shared" ref="J70" si="45">I70+J74-J75</f>
        <v>#DIV/0!</v>
      </c>
      <c r="K70" s="52" t="e">
        <f t="shared" ref="K70" si="46">J70+K74-K75</f>
        <v>#DIV/0!</v>
      </c>
      <c r="L70" s="52" t="e">
        <f t="shared" ref="L70" si="47">K70+L74-L75</f>
        <v>#DIV/0!</v>
      </c>
      <c r="M70" s="52" t="e">
        <f t="shared" ref="M70" si="48">L70+M74-M75</f>
        <v>#DIV/0!</v>
      </c>
      <c r="N70" s="52" t="e">
        <f t="shared" ref="N70" si="49">M70+N74-N75</f>
        <v>#DIV/0!</v>
      </c>
      <c r="O70" s="52" t="e">
        <f t="shared" ref="O70" si="50">N70+O74-O75</f>
        <v>#DIV/0!</v>
      </c>
      <c r="P70" s="52" t="e">
        <f t="shared" ref="P70" si="51">O70+P74-P75</f>
        <v>#DIV/0!</v>
      </c>
      <c r="Q70" s="286" t="e">
        <f t="shared" ref="Q70" si="52">P70+Q74-Q75</f>
        <v>#DIV/0!</v>
      </c>
    </row>
    <row r="71" spans="2:17">
      <c r="B71" s="733"/>
      <c r="C71" s="736"/>
      <c r="D71" s="37" t="s">
        <v>133</v>
      </c>
      <c r="E71" s="52"/>
      <c r="F71" s="52">
        <v>0</v>
      </c>
      <c r="G71" s="52">
        <v>0</v>
      </c>
      <c r="H71" s="52">
        <v>0</v>
      </c>
      <c r="I71" s="52">
        <v>0</v>
      </c>
      <c r="J71" s="52">
        <v>0</v>
      </c>
      <c r="K71" s="52">
        <v>0</v>
      </c>
      <c r="L71" s="52">
        <v>0</v>
      </c>
      <c r="M71" s="52">
        <v>0</v>
      </c>
      <c r="N71" s="52">
        <v>0</v>
      </c>
      <c r="O71" s="52">
        <v>0</v>
      </c>
      <c r="P71" s="52">
        <v>0</v>
      </c>
      <c r="Q71" s="286">
        <v>0</v>
      </c>
    </row>
    <row r="72" spans="2:17">
      <c r="B72" s="733"/>
      <c r="C72" s="736"/>
      <c r="D72" s="330" t="s">
        <v>274</v>
      </c>
      <c r="E72" s="331">
        <f>+SUM(E69:E71)</f>
        <v>479071.63618977333</v>
      </c>
      <c r="F72" s="331">
        <f>+SUM(F69:F71)</f>
        <v>479071.63618977333</v>
      </c>
      <c r="G72" s="331" t="e">
        <f t="shared" ref="G72:Q72" si="53">+SUM(G69:G71)</f>
        <v>#DIV/0!</v>
      </c>
      <c r="H72" s="331" t="e">
        <f t="shared" si="53"/>
        <v>#DIV/0!</v>
      </c>
      <c r="I72" s="331" t="e">
        <f t="shared" si="53"/>
        <v>#DIV/0!</v>
      </c>
      <c r="J72" s="331" t="e">
        <f t="shared" si="53"/>
        <v>#DIV/0!</v>
      </c>
      <c r="K72" s="331" t="e">
        <f t="shared" si="53"/>
        <v>#DIV/0!</v>
      </c>
      <c r="L72" s="331" t="e">
        <f t="shared" si="53"/>
        <v>#DIV/0!</v>
      </c>
      <c r="M72" s="331" t="e">
        <f t="shared" si="53"/>
        <v>#DIV/0!</v>
      </c>
      <c r="N72" s="331" t="e">
        <f t="shared" si="53"/>
        <v>#DIV/0!</v>
      </c>
      <c r="O72" s="331" t="e">
        <f t="shared" si="53"/>
        <v>#DIV/0!</v>
      </c>
      <c r="P72" s="331" t="e">
        <f t="shared" si="53"/>
        <v>#DIV/0!</v>
      </c>
      <c r="Q72" s="332" t="e">
        <f t="shared" si="53"/>
        <v>#DIV/0!</v>
      </c>
    </row>
    <row r="73" spans="2:17">
      <c r="B73" s="733"/>
      <c r="C73" s="736"/>
      <c r="D73" s="37" t="s">
        <v>270</v>
      </c>
      <c r="E73" s="57"/>
      <c r="F73" s="57">
        <f>'Emisiones UVR'!D9*1000</f>
        <v>0</v>
      </c>
      <c r="G73" s="57">
        <f>'Emisiones UVR'!E9*1000</f>
        <v>0</v>
      </c>
      <c r="H73" s="57">
        <f>'Emisiones UVR'!F9*1000</f>
        <v>0</v>
      </c>
      <c r="I73" s="57">
        <f>'Emisiones UVR'!G9*1000</f>
        <v>0</v>
      </c>
      <c r="J73" s="57">
        <f>'Emisiones UVR'!H9*1000</f>
        <v>0</v>
      </c>
      <c r="K73" s="57">
        <f>'Emisiones UVR'!I9*1000</f>
        <v>0</v>
      </c>
      <c r="L73" s="57">
        <f>'Emisiones UVR'!J9*1000</f>
        <v>0</v>
      </c>
      <c r="M73" s="57">
        <f>'Emisiones UVR'!K9*1000</f>
        <v>0</v>
      </c>
      <c r="N73" s="57">
        <f>'Emisiones UVR'!L9*1000</f>
        <v>0</v>
      </c>
      <c r="O73" s="57">
        <f>'Emisiones UVR'!M9*1000</f>
        <v>0</v>
      </c>
      <c r="P73" s="57">
        <f>'Emisiones UVR'!N9*1000</f>
        <v>0</v>
      </c>
      <c r="Q73" s="291">
        <f>'Emisiones UVR'!O9*1000</f>
        <v>0</v>
      </c>
    </row>
    <row r="74" spans="2:17">
      <c r="B74" s="733"/>
      <c r="C74" s="736"/>
      <c r="D74" s="37" t="s">
        <v>271</v>
      </c>
      <c r="E74" s="52"/>
      <c r="F74" s="57">
        <f>'Emisiones UVR'!D10*1000</f>
        <v>0</v>
      </c>
      <c r="G74" s="52" t="e">
        <f>'Emisiones UVR'!E10*1000</f>
        <v>#DIV/0!</v>
      </c>
      <c r="H74" s="52" t="e">
        <f>'Emisiones UVR'!F10*1000</f>
        <v>#DIV/0!</v>
      </c>
      <c r="I74" s="52" t="e">
        <f>'Emisiones UVR'!G10*1000</f>
        <v>#DIV/0!</v>
      </c>
      <c r="J74" s="52" t="e">
        <f>'Emisiones UVR'!H10*1000</f>
        <v>#DIV/0!</v>
      </c>
      <c r="K74" s="52" t="e">
        <f>'Emisiones UVR'!I10*1000</f>
        <v>#DIV/0!</v>
      </c>
      <c r="L74" s="52" t="e">
        <f>'Emisiones UVR'!J10*1000</f>
        <v>#DIV/0!</v>
      </c>
      <c r="M74" s="52" t="e">
        <f>'Emisiones UVR'!K10*1000</f>
        <v>#DIV/0!</v>
      </c>
      <c r="N74" s="52" t="e">
        <f>'Emisiones UVR'!L10*1000</f>
        <v>#DIV/0!</v>
      </c>
      <c r="O74" s="52" t="e">
        <f>'Emisiones UVR'!M10*1000</f>
        <v>#DIV/0!</v>
      </c>
      <c r="P74" s="52" t="e">
        <f>'Emisiones UVR'!N10*1000</f>
        <v>#DIV/0!</v>
      </c>
      <c r="Q74" s="286" t="e">
        <f>'Emisiones UVR'!O10*1000</f>
        <v>#DIV/0!</v>
      </c>
    </row>
    <row r="75" spans="2:17">
      <c r="B75" s="733"/>
      <c r="C75" s="736"/>
      <c r="D75" s="37" t="s">
        <v>140</v>
      </c>
      <c r="E75" s="52"/>
      <c r="F75" s="57">
        <f>'Emisiones UVR'!D15*1000</f>
        <v>0</v>
      </c>
      <c r="G75" s="52">
        <f>'Emisiones UVR'!E15*1000</f>
        <v>0</v>
      </c>
      <c r="H75" s="52">
        <f>'Emisiones UVR'!F15*1000</f>
        <v>0</v>
      </c>
      <c r="I75" s="52">
        <f>'Emisiones UVR'!G15*1000</f>
        <v>0</v>
      </c>
      <c r="J75" s="52">
        <f>'Emisiones UVR'!H15*1000</f>
        <v>0</v>
      </c>
      <c r="K75" s="52">
        <f>'Emisiones UVR'!I15*1000</f>
        <v>0</v>
      </c>
      <c r="L75" s="52" t="e">
        <f>'Emisiones UVR'!J15*1000</f>
        <v>#DIV/0!</v>
      </c>
      <c r="M75" s="52" t="e">
        <f>'Emisiones UVR'!K15*1000</f>
        <v>#DIV/0!</v>
      </c>
      <c r="N75" s="52" t="e">
        <f>'Emisiones UVR'!L15*1000</f>
        <v>#DIV/0!</v>
      </c>
      <c r="O75" s="52" t="e">
        <f>'Emisiones UVR'!M15*1000</f>
        <v>#DIV/0!</v>
      </c>
      <c r="P75" s="52" t="e">
        <f>'Emisiones UVR'!N15*1000</f>
        <v>#DIV/0!</v>
      </c>
      <c r="Q75" s="286" t="e">
        <f>'Emisiones UVR'!O15*1000</f>
        <v>#DIV/0!</v>
      </c>
    </row>
    <row r="76" spans="2:17">
      <c r="B76" s="734"/>
      <c r="C76" s="737"/>
      <c r="D76" s="292" t="s">
        <v>273</v>
      </c>
      <c r="E76" s="293"/>
      <c r="F76" s="293">
        <f t="shared" ref="F76:Q76" si="54">+F74-F73-F75</f>
        <v>0</v>
      </c>
      <c r="G76" s="293" t="e">
        <f t="shared" si="54"/>
        <v>#DIV/0!</v>
      </c>
      <c r="H76" s="293" t="e">
        <f t="shared" si="54"/>
        <v>#DIV/0!</v>
      </c>
      <c r="I76" s="293" t="e">
        <f t="shared" si="54"/>
        <v>#DIV/0!</v>
      </c>
      <c r="J76" s="293" t="e">
        <f t="shared" si="54"/>
        <v>#DIV/0!</v>
      </c>
      <c r="K76" s="293" t="e">
        <f t="shared" si="54"/>
        <v>#DIV/0!</v>
      </c>
      <c r="L76" s="293" t="e">
        <f t="shared" si="54"/>
        <v>#DIV/0!</v>
      </c>
      <c r="M76" s="293" t="e">
        <f t="shared" si="54"/>
        <v>#DIV/0!</v>
      </c>
      <c r="N76" s="293" t="e">
        <f t="shared" si="54"/>
        <v>#DIV/0!</v>
      </c>
      <c r="O76" s="293" t="e">
        <f t="shared" si="54"/>
        <v>#DIV/0!</v>
      </c>
      <c r="P76" s="293" t="e">
        <f t="shared" si="54"/>
        <v>#DIV/0!</v>
      </c>
      <c r="Q76" s="294" t="e">
        <f t="shared" si="54"/>
        <v>#DIV/0!</v>
      </c>
    </row>
    <row r="77" spans="2:17">
      <c r="F77" s="77"/>
      <c r="G77" s="77"/>
      <c r="H77" s="77"/>
      <c r="I77" s="77"/>
      <c r="J77" s="77"/>
      <c r="K77" s="77"/>
      <c r="L77" s="77"/>
      <c r="M77" s="77"/>
      <c r="N77" s="77"/>
      <c r="O77" s="77"/>
      <c r="P77" s="77"/>
      <c r="Q77" s="77"/>
    </row>
    <row r="78" spans="2:17">
      <c r="F78" s="671"/>
      <c r="G78" s="671"/>
      <c r="H78" s="671"/>
      <c r="I78" s="671"/>
      <c r="J78" s="671"/>
      <c r="K78" s="671"/>
      <c r="L78" s="671"/>
      <c r="M78" s="671"/>
      <c r="N78" s="671"/>
      <c r="O78" s="671"/>
      <c r="P78" s="671"/>
      <c r="Q78" s="671"/>
    </row>
    <row r="79" spans="2:17">
      <c r="F79" s="671"/>
      <c r="G79" s="671"/>
      <c r="H79" s="671"/>
      <c r="I79" s="671"/>
      <c r="J79" s="671"/>
      <c r="K79" s="671"/>
      <c r="L79" s="671"/>
      <c r="M79" s="671"/>
      <c r="N79" s="671"/>
      <c r="O79" s="671"/>
      <c r="P79" s="671"/>
      <c r="Q79" s="671"/>
    </row>
    <row r="80" spans="2:17">
      <c r="F80" s="671"/>
      <c r="G80" s="671"/>
      <c r="H80" s="671"/>
      <c r="I80" s="671"/>
      <c r="J80" s="671"/>
      <c r="K80" s="671"/>
      <c r="L80" s="671"/>
      <c r="M80" s="671"/>
      <c r="N80" s="671"/>
      <c r="O80" s="671"/>
      <c r="P80" s="671"/>
      <c r="Q80" s="671"/>
    </row>
    <row r="81" spans="6:17">
      <c r="F81" s="671"/>
      <c r="G81" s="671"/>
      <c r="H81" s="671"/>
      <c r="I81" s="671"/>
      <c r="J81" s="671"/>
      <c r="K81" s="671"/>
      <c r="L81" s="671"/>
      <c r="M81" s="671"/>
      <c r="N81" s="671"/>
      <c r="O81" s="671"/>
      <c r="P81" s="671"/>
      <c r="Q81" s="671"/>
    </row>
    <row r="82" spans="6:17">
      <c r="F82" s="671"/>
      <c r="G82" s="671"/>
      <c r="H82" s="671"/>
      <c r="I82" s="671"/>
      <c r="J82" s="671"/>
      <c r="K82" s="671"/>
      <c r="L82" s="671"/>
      <c r="M82" s="671"/>
      <c r="N82" s="671"/>
      <c r="O82" s="671"/>
      <c r="P82" s="671"/>
      <c r="Q82" s="671"/>
    </row>
    <row r="83" spans="6:17">
      <c r="F83" s="671"/>
      <c r="G83" s="671"/>
      <c r="H83" s="671"/>
      <c r="I83" s="671"/>
      <c r="J83" s="671"/>
      <c r="K83" s="671"/>
      <c r="L83" s="671"/>
      <c r="M83" s="671"/>
      <c r="N83" s="671"/>
      <c r="O83" s="671"/>
      <c r="P83" s="671"/>
      <c r="Q83" s="671"/>
    </row>
    <row r="84" spans="6:17">
      <c r="F84" s="671"/>
      <c r="G84" s="671"/>
      <c r="H84" s="671"/>
      <c r="I84" s="671"/>
      <c r="J84" s="671"/>
      <c r="K84" s="671"/>
      <c r="L84" s="671"/>
      <c r="M84" s="671"/>
      <c r="N84" s="671"/>
      <c r="O84" s="671"/>
      <c r="P84" s="671"/>
      <c r="Q84" s="671"/>
    </row>
    <row r="85" spans="6:17">
      <c r="F85" s="671"/>
      <c r="G85" s="671"/>
      <c r="H85" s="671"/>
      <c r="I85" s="671"/>
      <c r="J85" s="671"/>
      <c r="K85" s="671"/>
      <c r="L85" s="671"/>
      <c r="M85" s="671"/>
      <c r="N85" s="671"/>
      <c r="O85" s="671"/>
      <c r="P85" s="671"/>
      <c r="Q85" s="671"/>
    </row>
    <row r="86" spans="6:17">
      <c r="F86" s="671"/>
      <c r="G86" s="671"/>
      <c r="H86" s="671"/>
      <c r="I86" s="671"/>
      <c r="J86" s="671"/>
      <c r="K86" s="671"/>
      <c r="L86" s="671"/>
      <c r="M86" s="671"/>
      <c r="N86" s="671"/>
      <c r="O86" s="671"/>
      <c r="P86" s="671"/>
      <c r="Q86" s="671"/>
    </row>
    <row r="88" spans="6:17">
      <c r="F88" s="52"/>
      <c r="G88" s="52"/>
      <c r="H88" s="52"/>
      <c r="I88" s="52"/>
      <c r="J88" s="52"/>
      <c r="K88" s="52"/>
      <c r="L88" s="52"/>
      <c r="M88" s="52"/>
      <c r="N88" s="52"/>
      <c r="O88" s="52"/>
      <c r="P88" s="52"/>
      <c r="Q88" s="52"/>
    </row>
    <row r="89" spans="6:17">
      <c r="F89" s="52"/>
      <c r="G89" s="52"/>
      <c r="H89" s="52"/>
      <c r="I89" s="52"/>
      <c r="J89" s="52"/>
      <c r="K89" s="52"/>
      <c r="L89" s="52"/>
      <c r="M89" s="52"/>
      <c r="N89" s="52"/>
      <c r="O89" s="52"/>
      <c r="P89" s="52"/>
      <c r="Q89" s="52"/>
    </row>
    <row r="90" spans="6:17">
      <c r="F90" s="52"/>
      <c r="G90" s="52"/>
      <c r="H90" s="52"/>
      <c r="I90" s="52"/>
      <c r="J90" s="52"/>
      <c r="K90" s="52"/>
      <c r="L90" s="52"/>
      <c r="M90" s="52"/>
      <c r="N90" s="52"/>
      <c r="O90" s="52"/>
      <c r="P90" s="52"/>
      <c r="Q90" s="52"/>
    </row>
    <row r="91" spans="6:17">
      <c r="F91" s="52"/>
      <c r="G91" s="52"/>
      <c r="H91" s="52"/>
      <c r="I91" s="52"/>
      <c r="J91" s="52"/>
      <c r="K91" s="52"/>
      <c r="L91" s="52"/>
      <c r="M91" s="52"/>
      <c r="N91" s="52"/>
      <c r="O91" s="52"/>
      <c r="P91" s="52"/>
      <c r="Q91" s="52"/>
    </row>
    <row r="92" spans="6:17">
      <c r="F92" s="52"/>
      <c r="G92" s="52"/>
      <c r="H92" s="52"/>
      <c r="I92" s="52"/>
      <c r="J92" s="52"/>
      <c r="K92" s="52"/>
      <c r="L92" s="52"/>
      <c r="M92" s="52"/>
      <c r="N92" s="52"/>
      <c r="O92" s="52"/>
      <c r="P92" s="52"/>
      <c r="Q92" s="52"/>
    </row>
    <row r="93" spans="6:17">
      <c r="F93" s="52"/>
      <c r="G93" s="52"/>
      <c r="H93" s="52"/>
      <c r="I93" s="52"/>
      <c r="J93" s="52"/>
      <c r="K93" s="52"/>
      <c r="L93" s="52"/>
      <c r="M93" s="52"/>
      <c r="N93" s="52"/>
      <c r="O93" s="52"/>
      <c r="P93" s="52"/>
      <c r="Q93" s="52"/>
    </row>
    <row r="94" spans="6:17">
      <c r="F94" s="52"/>
      <c r="G94" s="52"/>
      <c r="H94" s="52"/>
      <c r="I94" s="52"/>
      <c r="J94" s="52"/>
      <c r="K94" s="52"/>
      <c r="L94" s="52"/>
      <c r="M94" s="52"/>
      <c r="N94" s="52"/>
      <c r="O94" s="52"/>
      <c r="P94" s="52"/>
      <c r="Q94" s="52"/>
    </row>
    <row r="95" spans="6:17">
      <c r="F95" s="52"/>
      <c r="G95" s="52"/>
      <c r="H95" s="52"/>
      <c r="I95" s="52"/>
      <c r="J95" s="52"/>
      <c r="K95" s="52"/>
      <c r="L95" s="52"/>
      <c r="M95" s="52"/>
      <c r="N95" s="52"/>
      <c r="O95" s="52"/>
      <c r="P95" s="52"/>
      <c r="Q95" s="52"/>
    </row>
    <row r="96" spans="6:17">
      <c r="F96" s="52"/>
      <c r="G96" s="52"/>
      <c r="H96" s="52"/>
      <c r="I96" s="52"/>
      <c r="J96" s="52"/>
      <c r="K96" s="52"/>
      <c r="L96" s="52"/>
      <c r="M96" s="52"/>
      <c r="N96" s="52"/>
      <c r="O96" s="52"/>
      <c r="P96" s="52"/>
      <c r="Q96" s="52"/>
    </row>
  </sheetData>
  <mergeCells count="16">
    <mergeCell ref="I1:J1"/>
    <mergeCell ref="B69:B76"/>
    <mergeCell ref="C69:C76"/>
    <mergeCell ref="B58:B66"/>
    <mergeCell ref="C58:C66"/>
    <mergeCell ref="C46:C53"/>
    <mergeCell ref="C37:C39"/>
    <mergeCell ref="C54:C56"/>
    <mergeCell ref="B46:B56"/>
    <mergeCell ref="C16:C27"/>
    <mergeCell ref="B3:D3"/>
    <mergeCell ref="B29:B44"/>
    <mergeCell ref="C4:C15"/>
    <mergeCell ref="C29:C36"/>
    <mergeCell ref="C40:C44"/>
    <mergeCell ref="B4:B27"/>
  </mergeCells>
  <hyperlinks>
    <hyperlink ref="I1" location="'Cumplimiento de la regla'!A1" display="Cumplimiento de la regla" xr:uid="{2DB61A00-10C7-C440-94AF-775FA6E3F94C}"/>
    <hyperlink ref="E1" location="Introducción!A1" display="Introducción" xr:uid="{1156B642-72B3-0647-9D27-885C45C1DD61}"/>
    <hyperlink ref="H1" location="Gráficos!A1" display="Gráficos" xr:uid="{BC90D25F-25F6-B94C-8019-261313D86C9C}"/>
    <hyperlink ref="G1" location="SALIDA!A1" display="SALIDA" xr:uid="{995C95DF-D048-5149-B26B-5516C2B32B86}"/>
    <hyperlink ref="F1" location="Supuestos!A1" display="Supuestos" xr:uid="{A3A24090-D76D-C242-BF59-0DD36617F710}"/>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DC18C-9E39-0041-BDDA-005E42B9FCC4}">
  <sheetPr codeName="Sheet1">
    <tabColor theme="9"/>
  </sheetPr>
  <dimension ref="A1:AZ225"/>
  <sheetViews>
    <sheetView zoomScale="85" zoomScaleNormal="85" workbookViewId="0">
      <pane xSplit="1" topLeftCell="R1" activePane="topRight" state="frozen"/>
      <selection activeCell="C26" sqref="C26"/>
      <selection pane="topRight" activeCell="Z50" sqref="Z50"/>
    </sheetView>
  </sheetViews>
  <sheetFormatPr baseColWidth="10" defaultColWidth="10.83203125" defaultRowHeight="15"/>
  <cols>
    <col min="1" max="1" width="48.6640625" style="5" customWidth="1"/>
    <col min="2" max="4" width="7.83203125" style="5" bestFit="1" customWidth="1"/>
    <col min="5" max="9" width="8.1640625" style="5" bestFit="1" customWidth="1"/>
    <col min="10" max="26" width="8.83203125" style="5" bestFit="1" customWidth="1"/>
    <col min="27" max="27" width="11.1640625" style="5" customWidth="1"/>
    <col min="28" max="34" width="9.83203125" style="5" bestFit="1" customWidth="1"/>
    <col min="35" max="37" width="10.5" style="5" bestFit="1" customWidth="1"/>
    <col min="38" max="16384" width="10.83203125" style="5"/>
  </cols>
  <sheetData>
    <row r="1" spans="1:51" ht="21">
      <c r="A1" s="352" t="s">
        <v>370</v>
      </c>
      <c r="Z1" s="510" t="s">
        <v>319</v>
      </c>
      <c r="AA1" s="543" t="s">
        <v>315</v>
      </c>
      <c r="AB1" s="543" t="s">
        <v>285</v>
      </c>
      <c r="AC1" s="543" t="s">
        <v>317</v>
      </c>
      <c r="AD1" s="543" t="s">
        <v>318</v>
      </c>
      <c r="AE1" s="754" t="s">
        <v>320</v>
      </c>
      <c r="AF1" s="754"/>
    </row>
    <row r="2" spans="1:51">
      <c r="Z2" s="34"/>
      <c r="AA2" s="34"/>
      <c r="AB2" s="34"/>
      <c r="AC2" s="34"/>
      <c r="AD2" s="34"/>
      <c r="AE2" s="34"/>
      <c r="AF2" s="34"/>
      <c r="AG2" s="34"/>
      <c r="AH2" s="34"/>
      <c r="AI2" s="34"/>
      <c r="AJ2" s="34"/>
      <c r="AK2" s="34"/>
    </row>
    <row r="3" spans="1:51" ht="21">
      <c r="A3" s="352" t="s">
        <v>0</v>
      </c>
      <c r="B3" s="10"/>
      <c r="C3" s="10"/>
      <c r="D3" s="10"/>
      <c r="E3" s="10"/>
      <c r="F3" s="10"/>
      <c r="G3" s="10"/>
      <c r="H3" s="10"/>
      <c r="I3" s="10"/>
      <c r="J3" s="10"/>
      <c r="K3" s="10"/>
      <c r="L3" s="10"/>
      <c r="M3" s="10"/>
      <c r="N3" s="10"/>
      <c r="U3" s="83"/>
      <c r="V3" s="83"/>
      <c r="W3" s="84"/>
      <c r="X3" s="84"/>
      <c r="Y3" s="84"/>
      <c r="Z3" s="85"/>
      <c r="AA3" s="85"/>
      <c r="AB3" s="85"/>
      <c r="AC3" s="85"/>
      <c r="AD3" s="85"/>
      <c r="AE3" s="85"/>
      <c r="AF3" s="85"/>
      <c r="AG3" s="85"/>
      <c r="AH3" s="85"/>
      <c r="AI3" s="85"/>
      <c r="AJ3" s="85"/>
      <c r="AK3" s="85"/>
    </row>
    <row r="4" spans="1:51" ht="18">
      <c r="A4" s="353" t="s">
        <v>1</v>
      </c>
      <c r="B4" s="10"/>
      <c r="C4" s="10"/>
      <c r="D4" s="10"/>
      <c r="E4" s="10"/>
      <c r="F4" s="10"/>
      <c r="G4" s="10"/>
      <c r="H4" s="10"/>
      <c r="I4" s="10"/>
      <c r="J4" s="10"/>
      <c r="K4" s="10"/>
      <c r="L4" s="10"/>
      <c r="M4" s="10"/>
      <c r="N4" s="10"/>
      <c r="V4" s="83"/>
      <c r="W4" s="86"/>
      <c r="X4" s="86"/>
      <c r="Y4" s="83"/>
      <c r="Z4" s="85"/>
      <c r="AD4" s="87"/>
      <c r="AE4" s="87"/>
      <c r="AF4" s="87"/>
      <c r="AG4" s="87"/>
      <c r="AH4" s="87"/>
      <c r="AI4" s="87"/>
      <c r="AJ4" s="87"/>
      <c r="AK4" s="87"/>
    </row>
    <row r="5" spans="1:51" s="11" customFormat="1">
      <c r="A5" s="372" t="s">
        <v>46</v>
      </c>
      <c r="B5" s="373">
        <v>36525</v>
      </c>
      <c r="C5" s="373">
        <v>36891</v>
      </c>
      <c r="D5" s="373">
        <v>37256</v>
      </c>
      <c r="E5" s="373">
        <v>37621</v>
      </c>
      <c r="F5" s="373">
        <v>37986</v>
      </c>
      <c r="G5" s="373">
        <v>38352</v>
      </c>
      <c r="H5" s="373">
        <v>38717</v>
      </c>
      <c r="I5" s="373">
        <v>39082</v>
      </c>
      <c r="J5" s="373">
        <v>39447</v>
      </c>
      <c r="K5" s="373">
        <v>39813</v>
      </c>
      <c r="L5" s="373">
        <v>40178</v>
      </c>
      <c r="M5" s="373">
        <v>40543</v>
      </c>
      <c r="N5" s="373">
        <v>40908</v>
      </c>
      <c r="O5" s="373">
        <v>41274</v>
      </c>
      <c r="P5" s="373">
        <v>41639</v>
      </c>
      <c r="Q5" s="373">
        <v>42004</v>
      </c>
      <c r="R5" s="373">
        <v>42369</v>
      </c>
      <c r="S5" s="373">
        <v>42735</v>
      </c>
      <c r="T5" s="373">
        <v>43100</v>
      </c>
      <c r="U5" s="373">
        <v>43465</v>
      </c>
      <c r="V5" s="373">
        <v>43830</v>
      </c>
      <c r="W5" s="373">
        <v>44196</v>
      </c>
      <c r="X5" s="373">
        <v>44561</v>
      </c>
      <c r="Y5" s="373">
        <v>44926</v>
      </c>
      <c r="Z5" s="420">
        <v>45291</v>
      </c>
      <c r="AA5" s="373">
        <v>45657</v>
      </c>
      <c r="AB5" s="373">
        <v>46022</v>
      </c>
      <c r="AC5" s="373">
        <v>46387</v>
      </c>
      <c r="AD5" s="373">
        <v>46752</v>
      </c>
      <c r="AE5" s="373">
        <v>47118</v>
      </c>
      <c r="AF5" s="373">
        <v>47483</v>
      </c>
      <c r="AG5" s="373">
        <v>47848</v>
      </c>
      <c r="AH5" s="373">
        <v>48213</v>
      </c>
      <c r="AI5" s="373">
        <v>48579</v>
      </c>
      <c r="AJ5" s="373">
        <v>48944</v>
      </c>
      <c r="AK5" s="374">
        <v>49309</v>
      </c>
    </row>
    <row r="6" spans="1:51" s="11" customFormat="1">
      <c r="A6" s="366" t="s">
        <v>2</v>
      </c>
      <c r="B6" s="358">
        <f t="shared" ref="B6:AK6" si="0">B8+B10</f>
        <v>52436.440379085994</v>
      </c>
      <c r="C6" s="358">
        <f t="shared" si="0"/>
        <v>74652.464660582933</v>
      </c>
      <c r="D6" s="358">
        <f t="shared" si="0"/>
        <v>90674.014807161147</v>
      </c>
      <c r="E6" s="358">
        <f t="shared" si="0"/>
        <v>112114.2723718363</v>
      </c>
      <c r="F6" s="358">
        <f t="shared" si="0"/>
        <v>124126.654702328</v>
      </c>
      <c r="G6" s="358">
        <f t="shared" si="0"/>
        <v>130787.39212659255</v>
      </c>
      <c r="H6" s="358">
        <f t="shared" si="0"/>
        <v>144191.72517182369</v>
      </c>
      <c r="I6" s="358">
        <f t="shared" si="0"/>
        <v>153690.81568474308</v>
      </c>
      <c r="J6" s="358">
        <f t="shared" si="0"/>
        <v>156552.28226055013</v>
      </c>
      <c r="K6" s="358">
        <f t="shared" si="0"/>
        <v>171837.89713462582</v>
      </c>
      <c r="L6" s="358">
        <f t="shared" si="0"/>
        <v>190117.12290669352</v>
      </c>
      <c r="M6" s="358">
        <f t="shared" si="0"/>
        <v>209124.47856704172</v>
      </c>
      <c r="N6" s="358">
        <f t="shared" si="0"/>
        <v>224612.54235486183</v>
      </c>
      <c r="O6" s="358">
        <f t="shared" si="0"/>
        <v>227933.2464024646</v>
      </c>
      <c r="P6" s="358">
        <f t="shared" si="0"/>
        <v>261683.22690775365</v>
      </c>
      <c r="Q6" s="358">
        <f t="shared" si="0"/>
        <v>304392.36913933704</v>
      </c>
      <c r="R6" s="358">
        <f t="shared" si="0"/>
        <v>358993.51614454051</v>
      </c>
      <c r="S6" s="358">
        <f t="shared" si="0"/>
        <v>394117.87251310091</v>
      </c>
      <c r="T6" s="358">
        <f t="shared" si="0"/>
        <v>426911.12459872628</v>
      </c>
      <c r="U6" s="358">
        <f t="shared" si="0"/>
        <v>487269.11935541237</v>
      </c>
      <c r="V6" s="358">
        <f t="shared" si="0"/>
        <v>533683.34442603984</v>
      </c>
      <c r="W6" s="358">
        <f t="shared" si="0"/>
        <v>649352.76056916965</v>
      </c>
      <c r="X6" s="358">
        <f t="shared" si="0"/>
        <v>751051.45547132462</v>
      </c>
      <c r="Y6" s="358">
        <f t="shared" si="0"/>
        <v>894183.5870392652</v>
      </c>
      <c r="Z6" s="421" t="e">
        <f t="shared" si="0"/>
        <v>#DIV/0!</v>
      </c>
      <c r="AA6" s="359" t="e">
        <f t="shared" si="0"/>
        <v>#DIV/0!</v>
      </c>
      <c r="AB6" s="359" t="e">
        <f t="shared" si="0"/>
        <v>#DIV/0!</v>
      </c>
      <c r="AC6" s="359" t="e">
        <f t="shared" si="0"/>
        <v>#DIV/0!</v>
      </c>
      <c r="AD6" s="359" t="e">
        <f t="shared" si="0"/>
        <v>#DIV/0!</v>
      </c>
      <c r="AE6" s="359" t="e">
        <f t="shared" si="0"/>
        <v>#DIV/0!</v>
      </c>
      <c r="AF6" s="359" t="e">
        <f t="shared" si="0"/>
        <v>#DIV/0!</v>
      </c>
      <c r="AG6" s="359" t="e">
        <f t="shared" si="0"/>
        <v>#DIV/0!</v>
      </c>
      <c r="AH6" s="359" t="e">
        <f t="shared" si="0"/>
        <v>#DIV/0!</v>
      </c>
      <c r="AI6" s="359" t="e">
        <f t="shared" si="0"/>
        <v>#DIV/0!</v>
      </c>
      <c r="AJ6" s="359" t="e">
        <f t="shared" si="0"/>
        <v>#DIV/0!</v>
      </c>
      <c r="AK6" s="360" t="e">
        <f t="shared" si="0"/>
        <v>#DIV/0!</v>
      </c>
      <c r="AM6" s="89"/>
      <c r="AN6" s="89"/>
      <c r="AO6" s="89"/>
      <c r="AP6" s="89"/>
      <c r="AQ6" s="89"/>
      <c r="AR6" s="89"/>
      <c r="AS6" s="89"/>
      <c r="AT6" s="89"/>
      <c r="AU6" s="89"/>
      <c r="AV6" s="89"/>
      <c r="AW6" s="89"/>
      <c r="AX6" s="89"/>
      <c r="AY6" s="89"/>
    </row>
    <row r="7" spans="1:51">
      <c r="A7" s="367" t="s">
        <v>3</v>
      </c>
      <c r="B7" s="361">
        <f t="shared" ref="B7:AK7" si="1">B9+B10</f>
        <v>47832.254617385988</v>
      </c>
      <c r="C7" s="361">
        <f t="shared" si="1"/>
        <v>70586.873436394089</v>
      </c>
      <c r="D7" s="361">
        <f t="shared" si="1"/>
        <v>87475.914807161142</v>
      </c>
      <c r="E7" s="361">
        <f t="shared" si="1"/>
        <v>108011.2723718363</v>
      </c>
      <c r="F7" s="361">
        <f t="shared" si="1"/>
        <v>120931.26139787436</v>
      </c>
      <c r="G7" s="361">
        <f t="shared" si="1"/>
        <v>125897.60283041355</v>
      </c>
      <c r="H7" s="361">
        <f t="shared" si="1"/>
        <v>139850.34811929372</v>
      </c>
      <c r="I7" s="361">
        <f t="shared" si="1"/>
        <v>149034.69665567359</v>
      </c>
      <c r="J7" s="361">
        <f t="shared" si="1"/>
        <v>153613.69999682839</v>
      </c>
      <c r="K7" s="361">
        <f t="shared" si="1"/>
        <v>168524.33842666319</v>
      </c>
      <c r="L7" s="361">
        <f t="shared" si="1"/>
        <v>185334.1693391412</v>
      </c>
      <c r="M7" s="361">
        <f t="shared" si="1"/>
        <v>202840.28600253852</v>
      </c>
      <c r="N7" s="361">
        <f t="shared" si="1"/>
        <v>214693.58805741474</v>
      </c>
      <c r="O7" s="361">
        <f t="shared" si="1"/>
        <v>216289.41149323122</v>
      </c>
      <c r="P7" s="361">
        <f t="shared" si="1"/>
        <v>249359.32597174947</v>
      </c>
      <c r="Q7" s="361">
        <f t="shared" si="1"/>
        <v>294141.3063566545</v>
      </c>
      <c r="R7" s="361">
        <f t="shared" si="1"/>
        <v>351065.41918340244</v>
      </c>
      <c r="S7" s="361">
        <f t="shared" si="1"/>
        <v>388535.70861718024</v>
      </c>
      <c r="T7" s="361">
        <f t="shared" si="1"/>
        <v>423107.0116342078</v>
      </c>
      <c r="U7" s="361">
        <f t="shared" si="1"/>
        <v>486432.45525677979</v>
      </c>
      <c r="V7" s="361">
        <f t="shared" si="1"/>
        <v>515611.82412947871</v>
      </c>
      <c r="W7" s="361">
        <f t="shared" si="1"/>
        <v>633611.45359793724</v>
      </c>
      <c r="X7" s="361">
        <f t="shared" si="1"/>
        <v>738597.97929896542</v>
      </c>
      <c r="Y7" s="361">
        <f t="shared" si="1"/>
        <v>889921.72774812405</v>
      </c>
      <c r="Z7" s="422" t="e">
        <f t="shared" si="1"/>
        <v>#DIV/0!</v>
      </c>
      <c r="AA7" s="362" t="e">
        <f t="shared" si="1"/>
        <v>#DIV/0!</v>
      </c>
      <c r="AB7" s="362" t="e">
        <f t="shared" si="1"/>
        <v>#DIV/0!</v>
      </c>
      <c r="AC7" s="362" t="e">
        <f t="shared" si="1"/>
        <v>#DIV/0!</v>
      </c>
      <c r="AD7" s="362" t="e">
        <f t="shared" si="1"/>
        <v>#DIV/0!</v>
      </c>
      <c r="AE7" s="362" t="e">
        <f t="shared" si="1"/>
        <v>#DIV/0!</v>
      </c>
      <c r="AF7" s="362" t="e">
        <f t="shared" si="1"/>
        <v>#DIV/0!</v>
      </c>
      <c r="AG7" s="362" t="e">
        <f t="shared" si="1"/>
        <v>#DIV/0!</v>
      </c>
      <c r="AH7" s="362" t="e">
        <f t="shared" si="1"/>
        <v>#DIV/0!</v>
      </c>
      <c r="AI7" s="362" t="e">
        <f t="shared" si="1"/>
        <v>#DIV/0!</v>
      </c>
      <c r="AJ7" s="362" t="e">
        <f t="shared" si="1"/>
        <v>#DIV/0!</v>
      </c>
      <c r="AK7" s="363" t="e">
        <f t="shared" si="1"/>
        <v>#DIV/0!</v>
      </c>
      <c r="AM7" s="89"/>
      <c r="AN7" s="89"/>
      <c r="AO7" s="89"/>
      <c r="AP7" s="89"/>
      <c r="AQ7" s="89"/>
      <c r="AR7" s="89"/>
      <c r="AS7" s="89"/>
      <c r="AT7" s="89"/>
      <c r="AU7" s="89"/>
      <c r="AV7" s="89"/>
      <c r="AW7" s="89"/>
      <c r="AX7" s="89"/>
      <c r="AY7" s="89"/>
    </row>
    <row r="8" spans="1:51">
      <c r="A8" s="368" t="s">
        <v>4</v>
      </c>
      <c r="B8" s="145">
        <f t="shared" ref="B8:AK8" si="2">B12+B14+B15</f>
        <v>29794.057019654865</v>
      </c>
      <c r="C8" s="145">
        <f t="shared" si="2"/>
        <v>42717.189726253113</v>
      </c>
      <c r="D8" s="145">
        <f t="shared" si="2"/>
        <v>48931.877489604296</v>
      </c>
      <c r="E8" s="145">
        <f t="shared" si="2"/>
        <v>60537.238388126876</v>
      </c>
      <c r="F8" s="145">
        <f t="shared" si="2"/>
        <v>67315.775091493022</v>
      </c>
      <c r="G8" s="145">
        <f t="shared" si="2"/>
        <v>77432.388724381177</v>
      </c>
      <c r="H8" s="145">
        <f t="shared" si="2"/>
        <v>96566.045329882036</v>
      </c>
      <c r="I8" s="145">
        <f t="shared" si="2"/>
        <v>101077.81485112722</v>
      </c>
      <c r="J8" s="145">
        <f t="shared" si="2"/>
        <v>108899.47993989683</v>
      </c>
      <c r="K8" s="145">
        <f t="shared" si="2"/>
        <v>117244.8382915416</v>
      </c>
      <c r="L8" s="145">
        <f t="shared" si="2"/>
        <v>130422.7007944714</v>
      </c>
      <c r="M8" s="145">
        <f t="shared" si="2"/>
        <v>149818.4236621568</v>
      </c>
      <c r="N8" s="145">
        <f t="shared" si="2"/>
        <v>160632.25061393032</v>
      </c>
      <c r="O8" s="145">
        <f t="shared" si="2"/>
        <v>168414.07179322239</v>
      </c>
      <c r="P8" s="145">
        <f t="shared" si="2"/>
        <v>192964.08327628454</v>
      </c>
      <c r="Q8" s="145">
        <f t="shared" si="2"/>
        <v>214625.13713625065</v>
      </c>
      <c r="R8" s="145">
        <f t="shared" si="2"/>
        <v>229403.05253288191</v>
      </c>
      <c r="S8" s="145">
        <f t="shared" si="2"/>
        <v>260048.08510377497</v>
      </c>
      <c r="T8" s="145">
        <f t="shared" si="2"/>
        <v>284359.00015386043</v>
      </c>
      <c r="U8" s="145">
        <f t="shared" si="2"/>
        <v>323178.77215831605</v>
      </c>
      <c r="V8" s="145">
        <f t="shared" si="2"/>
        <v>364175.77065956104</v>
      </c>
      <c r="W8" s="145">
        <f t="shared" si="2"/>
        <v>419606.8410258654</v>
      </c>
      <c r="X8" s="145">
        <f t="shared" si="2"/>
        <v>458644.64719396876</v>
      </c>
      <c r="Y8" s="145">
        <f t="shared" si="2"/>
        <v>528713.31351661019</v>
      </c>
      <c r="Z8" s="423">
        <f t="shared" si="2"/>
        <v>462286.04243182403</v>
      </c>
      <c r="AA8" s="10" t="e">
        <f t="shared" si="2"/>
        <v>#DIV/0!</v>
      </c>
      <c r="AB8" s="10" t="e">
        <f t="shared" si="2"/>
        <v>#DIV/0!</v>
      </c>
      <c r="AC8" s="10" t="e">
        <f t="shared" si="2"/>
        <v>#DIV/0!</v>
      </c>
      <c r="AD8" s="10" t="e">
        <f t="shared" si="2"/>
        <v>#DIV/0!</v>
      </c>
      <c r="AE8" s="10" t="e">
        <f t="shared" si="2"/>
        <v>#DIV/0!</v>
      </c>
      <c r="AF8" s="10" t="e">
        <f t="shared" si="2"/>
        <v>#DIV/0!</v>
      </c>
      <c r="AG8" s="10" t="e">
        <f t="shared" si="2"/>
        <v>#DIV/0!</v>
      </c>
      <c r="AH8" s="10" t="e">
        <f t="shared" si="2"/>
        <v>#DIV/0!</v>
      </c>
      <c r="AI8" s="10" t="e">
        <f t="shared" si="2"/>
        <v>#DIV/0!</v>
      </c>
      <c r="AJ8" s="10" t="e">
        <f t="shared" si="2"/>
        <v>#DIV/0!</v>
      </c>
      <c r="AK8" s="265" t="e">
        <f t="shared" si="2"/>
        <v>#DIV/0!</v>
      </c>
      <c r="AM8" s="89"/>
      <c r="AN8" s="89"/>
      <c r="AO8" s="89"/>
      <c r="AP8" s="89"/>
      <c r="AQ8" s="89"/>
      <c r="AR8" s="89"/>
      <c r="AS8" s="89"/>
      <c r="AT8" s="89"/>
      <c r="AU8" s="89"/>
      <c r="AV8" s="89"/>
      <c r="AW8" s="89"/>
      <c r="AX8" s="89"/>
      <c r="AY8" s="89"/>
    </row>
    <row r="9" spans="1:51" s="93" customFormat="1">
      <c r="A9" s="369" t="s">
        <v>5</v>
      </c>
      <c r="B9" s="147">
        <f t="shared" ref="B9:AK9" si="3">B12+B14+B17</f>
        <v>25189.871257954863</v>
      </c>
      <c r="C9" s="147">
        <f t="shared" si="3"/>
        <v>38651.598502064277</v>
      </c>
      <c r="D9" s="147">
        <f t="shared" si="3"/>
        <v>45733.777489604297</v>
      </c>
      <c r="E9" s="147">
        <f t="shared" si="3"/>
        <v>56434.238388126876</v>
      </c>
      <c r="F9" s="147">
        <f t="shared" si="3"/>
        <v>64120.381787039383</v>
      </c>
      <c r="G9" s="147">
        <f t="shared" si="3"/>
        <v>72542.599428202171</v>
      </c>
      <c r="H9" s="147">
        <f t="shared" si="3"/>
        <v>92224.668277352059</v>
      </c>
      <c r="I9" s="147">
        <f t="shared" si="3"/>
        <v>96421.695822057707</v>
      </c>
      <c r="J9" s="147">
        <f t="shared" si="3"/>
        <v>105960.8976761751</v>
      </c>
      <c r="K9" s="147">
        <f t="shared" si="3"/>
        <v>113931.27958357897</v>
      </c>
      <c r="L9" s="147">
        <f t="shared" si="3"/>
        <v>125639.74722691908</v>
      </c>
      <c r="M9" s="147">
        <f t="shared" si="3"/>
        <v>143534.2310976536</v>
      </c>
      <c r="N9" s="147">
        <f t="shared" si="3"/>
        <v>150713.29631648323</v>
      </c>
      <c r="O9" s="147">
        <f t="shared" si="3"/>
        <v>156770.23688398901</v>
      </c>
      <c r="P9" s="147">
        <f t="shared" si="3"/>
        <v>180640.18234028036</v>
      </c>
      <c r="Q9" s="147">
        <f t="shared" si="3"/>
        <v>204374.07435356814</v>
      </c>
      <c r="R9" s="147">
        <f t="shared" si="3"/>
        <v>221474.95557174383</v>
      </c>
      <c r="S9" s="147">
        <f t="shared" si="3"/>
        <v>254465.92120785429</v>
      </c>
      <c r="T9" s="147">
        <f t="shared" si="3"/>
        <v>280554.88718934194</v>
      </c>
      <c r="U9" s="147">
        <f t="shared" si="3"/>
        <v>322342.10805968347</v>
      </c>
      <c r="V9" s="147">
        <f t="shared" si="3"/>
        <v>346104.25036299997</v>
      </c>
      <c r="W9" s="147">
        <f t="shared" si="3"/>
        <v>403865.53405463306</v>
      </c>
      <c r="X9" s="147">
        <f t="shared" si="3"/>
        <v>446191.17102160957</v>
      </c>
      <c r="Y9" s="147">
        <f t="shared" si="3"/>
        <v>524451.45422546903</v>
      </c>
      <c r="Z9" s="424">
        <f t="shared" si="3"/>
        <v>462286.04243182403</v>
      </c>
      <c r="AA9" s="9" t="e">
        <f t="shared" si="3"/>
        <v>#DIV/0!</v>
      </c>
      <c r="AB9" s="9" t="e">
        <f t="shared" si="3"/>
        <v>#DIV/0!</v>
      </c>
      <c r="AC9" s="9" t="e">
        <f t="shared" si="3"/>
        <v>#DIV/0!</v>
      </c>
      <c r="AD9" s="9" t="e">
        <f t="shared" si="3"/>
        <v>#DIV/0!</v>
      </c>
      <c r="AE9" s="9" t="e">
        <f t="shared" si="3"/>
        <v>#DIV/0!</v>
      </c>
      <c r="AF9" s="9" t="e">
        <f t="shared" si="3"/>
        <v>#DIV/0!</v>
      </c>
      <c r="AG9" s="9" t="e">
        <f t="shared" si="3"/>
        <v>#DIV/0!</v>
      </c>
      <c r="AH9" s="9" t="e">
        <f t="shared" si="3"/>
        <v>#DIV/0!</v>
      </c>
      <c r="AI9" s="9" t="e">
        <f t="shared" si="3"/>
        <v>#DIV/0!</v>
      </c>
      <c r="AJ9" s="9" t="e">
        <f t="shared" si="3"/>
        <v>#DIV/0!</v>
      </c>
      <c r="AK9" s="364" t="e">
        <f t="shared" si="3"/>
        <v>#DIV/0!</v>
      </c>
      <c r="AM9" s="89"/>
      <c r="AN9" s="89"/>
      <c r="AO9" s="89"/>
      <c r="AP9" s="89"/>
      <c r="AQ9" s="89"/>
      <c r="AR9" s="89"/>
      <c r="AS9" s="89"/>
      <c r="AT9" s="89"/>
      <c r="AU9" s="89"/>
      <c r="AV9" s="89"/>
      <c r="AW9" s="89"/>
      <c r="AX9" s="89"/>
      <c r="AY9" s="89"/>
    </row>
    <row r="10" spans="1:51">
      <c r="A10" s="368" t="s">
        <v>6</v>
      </c>
      <c r="B10" s="145">
        <f t="shared" ref="B10:AK10" si="4">B13</f>
        <v>22642.383359431125</v>
      </c>
      <c r="C10" s="145">
        <f t="shared" si="4"/>
        <v>31935.274934329816</v>
      </c>
      <c r="D10" s="145">
        <f t="shared" si="4"/>
        <v>41742.137317556844</v>
      </c>
      <c r="E10" s="145">
        <f t="shared" si="4"/>
        <v>51577.033983709429</v>
      </c>
      <c r="F10" s="145">
        <f t="shared" si="4"/>
        <v>56810.879610834985</v>
      </c>
      <c r="G10" s="145">
        <f t="shared" si="4"/>
        <v>53355.003402211376</v>
      </c>
      <c r="H10" s="145">
        <f t="shared" si="4"/>
        <v>47625.679841941652</v>
      </c>
      <c r="I10" s="145">
        <f t="shared" si="4"/>
        <v>52613.000833615872</v>
      </c>
      <c r="J10" s="145">
        <f t="shared" si="4"/>
        <v>47652.802320653296</v>
      </c>
      <c r="K10" s="145">
        <f t="shared" si="4"/>
        <v>54593.058843084233</v>
      </c>
      <c r="L10" s="145">
        <f t="shared" si="4"/>
        <v>59694.422112222113</v>
      </c>
      <c r="M10" s="145">
        <f t="shared" si="4"/>
        <v>59306.054904884928</v>
      </c>
      <c r="N10" s="145">
        <f t="shared" si="4"/>
        <v>63980.291740931505</v>
      </c>
      <c r="O10" s="145">
        <f t="shared" si="4"/>
        <v>59519.174609242204</v>
      </c>
      <c r="P10" s="145">
        <f t="shared" si="4"/>
        <v>68719.143631469109</v>
      </c>
      <c r="Q10" s="145">
        <f t="shared" si="4"/>
        <v>89767.232003086378</v>
      </c>
      <c r="R10" s="145">
        <f t="shared" si="4"/>
        <v>129590.46361165862</v>
      </c>
      <c r="S10" s="145">
        <f t="shared" si="4"/>
        <v>134069.78740932595</v>
      </c>
      <c r="T10" s="145">
        <f t="shared" si="4"/>
        <v>142552.12444486585</v>
      </c>
      <c r="U10" s="145">
        <f t="shared" si="4"/>
        <v>164090.34719709633</v>
      </c>
      <c r="V10" s="145">
        <f t="shared" si="4"/>
        <v>169507.57376647874</v>
      </c>
      <c r="W10" s="145">
        <f t="shared" si="4"/>
        <v>229745.91954330419</v>
      </c>
      <c r="X10" s="145">
        <f t="shared" si="4"/>
        <v>292406.80827735586</v>
      </c>
      <c r="Y10" s="145">
        <f t="shared" si="4"/>
        <v>365470.27352265501</v>
      </c>
      <c r="Z10" s="423" t="e">
        <f t="shared" si="4"/>
        <v>#DIV/0!</v>
      </c>
      <c r="AA10" s="10" t="e">
        <f t="shared" si="4"/>
        <v>#DIV/0!</v>
      </c>
      <c r="AB10" s="10" t="e">
        <f t="shared" si="4"/>
        <v>#DIV/0!</v>
      </c>
      <c r="AC10" s="10" t="e">
        <f t="shared" si="4"/>
        <v>#DIV/0!</v>
      </c>
      <c r="AD10" s="10" t="e">
        <f t="shared" si="4"/>
        <v>#DIV/0!</v>
      </c>
      <c r="AE10" s="10" t="e">
        <f t="shared" si="4"/>
        <v>#DIV/0!</v>
      </c>
      <c r="AF10" s="10" t="e">
        <f t="shared" si="4"/>
        <v>#DIV/0!</v>
      </c>
      <c r="AG10" s="10" t="e">
        <f t="shared" si="4"/>
        <v>#DIV/0!</v>
      </c>
      <c r="AH10" s="10" t="e">
        <f t="shared" si="4"/>
        <v>#DIV/0!</v>
      </c>
      <c r="AI10" s="10" t="e">
        <f t="shared" si="4"/>
        <v>#DIV/0!</v>
      </c>
      <c r="AJ10" s="10" t="e">
        <f t="shared" si="4"/>
        <v>#DIV/0!</v>
      </c>
      <c r="AK10" s="265" t="e">
        <f t="shared" si="4"/>
        <v>#DIV/0!</v>
      </c>
      <c r="AM10" s="89"/>
      <c r="AN10" s="89"/>
      <c r="AO10" s="89"/>
      <c r="AP10" s="89"/>
      <c r="AQ10" s="89"/>
      <c r="AR10" s="89"/>
      <c r="AS10" s="89"/>
      <c r="AT10" s="89"/>
      <c r="AU10" s="89"/>
      <c r="AV10" s="89"/>
      <c r="AW10" s="89"/>
      <c r="AX10" s="89"/>
      <c r="AY10" s="89"/>
    </row>
    <row r="11" spans="1:51" s="11" customFormat="1">
      <c r="A11" s="366" t="s">
        <v>7</v>
      </c>
      <c r="B11" s="358">
        <f t="shared" ref="B11:AK11" si="5">B12+B13</f>
        <v>47725.143617385984</v>
      </c>
      <c r="C11" s="358">
        <f t="shared" si="5"/>
        <v>69191.973436394095</v>
      </c>
      <c r="D11" s="358">
        <f t="shared" si="5"/>
        <v>85977.814807161136</v>
      </c>
      <c r="E11" s="358">
        <f t="shared" si="5"/>
        <v>104978.06237183631</v>
      </c>
      <c r="F11" s="358">
        <f t="shared" si="5"/>
        <v>117760.66139787437</v>
      </c>
      <c r="G11" s="358">
        <f t="shared" si="5"/>
        <v>121987.10283041355</v>
      </c>
      <c r="H11" s="358">
        <f t="shared" si="5"/>
        <v>136081.34811929372</v>
      </c>
      <c r="I11" s="358">
        <f t="shared" si="5"/>
        <v>147011.59665567358</v>
      </c>
      <c r="J11" s="358">
        <f t="shared" si="5"/>
        <v>146714.69999682839</v>
      </c>
      <c r="K11" s="358">
        <f t="shared" si="5"/>
        <v>163306.76886113221</v>
      </c>
      <c r="L11" s="358">
        <f t="shared" si="5"/>
        <v>179227.24727691719</v>
      </c>
      <c r="M11" s="358">
        <f t="shared" si="5"/>
        <v>194828.05746006581</v>
      </c>
      <c r="N11" s="358">
        <f t="shared" si="5"/>
        <v>212542.79345750457</v>
      </c>
      <c r="O11" s="358">
        <f t="shared" si="5"/>
        <v>212518.27659599693</v>
      </c>
      <c r="P11" s="358">
        <f t="shared" si="5"/>
        <v>243095.62905837045</v>
      </c>
      <c r="Q11" s="358">
        <f t="shared" si="5"/>
        <v>283969.93996191461</v>
      </c>
      <c r="R11" s="358">
        <f t="shared" si="5"/>
        <v>329433.1144136269</v>
      </c>
      <c r="S11" s="358">
        <f t="shared" si="5"/>
        <v>364699.36954543949</v>
      </c>
      <c r="T11" s="358">
        <f t="shared" si="5"/>
        <v>397924.40891797829</v>
      </c>
      <c r="U11" s="358">
        <f t="shared" si="5"/>
        <v>457862.1990461938</v>
      </c>
      <c r="V11" s="358">
        <f t="shared" si="5"/>
        <v>482279.26698231575</v>
      </c>
      <c r="W11" s="358">
        <f t="shared" si="5"/>
        <v>592085.37950931769</v>
      </c>
      <c r="X11" s="358">
        <f t="shared" si="5"/>
        <v>701908.94572964741</v>
      </c>
      <c r="Y11" s="358">
        <f t="shared" si="5"/>
        <v>827756.31595447904</v>
      </c>
      <c r="Z11" s="421" t="e">
        <f t="shared" si="5"/>
        <v>#DIV/0!</v>
      </c>
      <c r="AA11" s="359" t="e">
        <f t="shared" si="5"/>
        <v>#DIV/0!</v>
      </c>
      <c r="AB11" s="359" t="e">
        <f t="shared" si="5"/>
        <v>#DIV/0!</v>
      </c>
      <c r="AC11" s="359" t="e">
        <f t="shared" si="5"/>
        <v>#DIV/0!</v>
      </c>
      <c r="AD11" s="359" t="e">
        <f t="shared" si="5"/>
        <v>#DIV/0!</v>
      </c>
      <c r="AE11" s="359" t="e">
        <f t="shared" si="5"/>
        <v>#DIV/0!</v>
      </c>
      <c r="AF11" s="359" t="e">
        <f t="shared" si="5"/>
        <v>#DIV/0!</v>
      </c>
      <c r="AG11" s="359" t="e">
        <f t="shared" si="5"/>
        <v>#DIV/0!</v>
      </c>
      <c r="AH11" s="359" t="e">
        <f t="shared" si="5"/>
        <v>#DIV/0!</v>
      </c>
      <c r="AI11" s="359" t="e">
        <f t="shared" si="5"/>
        <v>#DIV/0!</v>
      </c>
      <c r="AJ11" s="359" t="e">
        <f t="shared" si="5"/>
        <v>#DIV/0!</v>
      </c>
      <c r="AK11" s="360" t="e">
        <f t="shared" si="5"/>
        <v>#DIV/0!</v>
      </c>
      <c r="AM11" s="89"/>
      <c r="AN11" s="89"/>
      <c r="AO11" s="89"/>
      <c r="AP11" s="89"/>
      <c r="AQ11" s="89"/>
      <c r="AR11" s="89"/>
      <c r="AS11" s="89"/>
      <c r="AT11" s="89"/>
      <c r="AU11" s="89"/>
      <c r="AV11" s="89"/>
      <c r="AW11" s="89"/>
      <c r="AX11" s="89"/>
      <c r="AY11" s="89"/>
    </row>
    <row r="12" spans="1:51">
      <c r="A12" s="368" t="s">
        <v>8</v>
      </c>
      <c r="B12" s="95">
        <v>25082.760257954862</v>
      </c>
      <c r="C12" s="95">
        <v>37256.698502064275</v>
      </c>
      <c r="D12" s="95">
        <v>44235.677489604299</v>
      </c>
      <c r="E12" s="95">
        <v>53401.028388126877</v>
      </c>
      <c r="F12" s="95">
        <v>60949.781787039385</v>
      </c>
      <c r="G12" s="95">
        <v>68632.099428202171</v>
      </c>
      <c r="H12" s="95">
        <v>88455.668277352059</v>
      </c>
      <c r="I12" s="95">
        <v>94398.595822057701</v>
      </c>
      <c r="J12" s="95">
        <v>99061.897676175096</v>
      </c>
      <c r="K12" s="95">
        <v>108713.71001804798</v>
      </c>
      <c r="L12" s="95">
        <v>119532.82516469508</v>
      </c>
      <c r="M12" s="95">
        <v>135522.00255518089</v>
      </c>
      <c r="N12" s="95">
        <v>148562.50171657305</v>
      </c>
      <c r="O12" s="95">
        <v>152999.10198675471</v>
      </c>
      <c r="P12" s="95">
        <v>174376.48542690134</v>
      </c>
      <c r="Q12" s="95">
        <v>194202.70795882825</v>
      </c>
      <c r="R12" s="95">
        <v>199842.6508019683</v>
      </c>
      <c r="S12" s="95">
        <v>230629.58213611355</v>
      </c>
      <c r="T12" s="95">
        <v>255372.28447311241</v>
      </c>
      <c r="U12" s="95">
        <v>293771.85184909747</v>
      </c>
      <c r="V12" s="95">
        <v>312771.693215837</v>
      </c>
      <c r="W12" s="95">
        <v>362339.45996601344</v>
      </c>
      <c r="X12" s="95">
        <v>409502.13745229156</v>
      </c>
      <c r="Y12" s="95">
        <v>462286.04243182403</v>
      </c>
      <c r="Z12" s="423">
        <f>'Calculo deuda'!F53</f>
        <v>462286.04243182403</v>
      </c>
      <c r="AA12" s="10" t="e">
        <f>'Calculo deuda'!G53</f>
        <v>#DIV/0!</v>
      </c>
      <c r="AB12" s="10" t="e">
        <f>'Calculo deuda'!H53</f>
        <v>#DIV/0!</v>
      </c>
      <c r="AC12" s="10" t="e">
        <f>'Calculo deuda'!I53</f>
        <v>#DIV/0!</v>
      </c>
      <c r="AD12" s="10" t="e">
        <f>'Calculo deuda'!J53</f>
        <v>#DIV/0!</v>
      </c>
      <c r="AE12" s="10" t="e">
        <f>'Calculo deuda'!K53</f>
        <v>#DIV/0!</v>
      </c>
      <c r="AF12" s="10" t="e">
        <f>'Calculo deuda'!L53</f>
        <v>#DIV/0!</v>
      </c>
      <c r="AG12" s="10" t="e">
        <f>'Calculo deuda'!M53</f>
        <v>#DIV/0!</v>
      </c>
      <c r="AH12" s="10" t="e">
        <f>'Calculo deuda'!N53</f>
        <v>#DIV/0!</v>
      </c>
      <c r="AI12" s="10" t="e">
        <f>'Calculo deuda'!O53</f>
        <v>#DIV/0!</v>
      </c>
      <c r="AJ12" s="10" t="e">
        <f>'Calculo deuda'!P53</f>
        <v>#DIV/0!</v>
      </c>
      <c r="AK12" s="265" t="e">
        <f>'Calculo deuda'!Q53</f>
        <v>#DIV/0!</v>
      </c>
      <c r="AM12" s="89"/>
      <c r="AN12" s="89"/>
      <c r="AO12" s="89"/>
      <c r="AP12" s="89"/>
      <c r="AQ12" s="89"/>
      <c r="AR12" s="89"/>
      <c r="AS12" s="89"/>
      <c r="AT12" s="89"/>
      <c r="AU12" s="89"/>
      <c r="AV12" s="89"/>
      <c r="AW12" s="89"/>
      <c r="AX12" s="89"/>
      <c r="AY12" s="89"/>
    </row>
    <row r="13" spans="1:51">
      <c r="A13" s="368" t="s">
        <v>9</v>
      </c>
      <c r="B13" s="95">
        <v>22642.383359431125</v>
      </c>
      <c r="C13" s="95">
        <v>31935.274934329816</v>
      </c>
      <c r="D13" s="95">
        <v>41742.137317556844</v>
      </c>
      <c r="E13" s="95">
        <v>51577.033983709429</v>
      </c>
      <c r="F13" s="95">
        <v>56810.879610834985</v>
      </c>
      <c r="G13" s="95">
        <v>53355.003402211376</v>
      </c>
      <c r="H13" s="95">
        <v>47625.679841941652</v>
      </c>
      <c r="I13" s="95">
        <v>52613.000833615872</v>
      </c>
      <c r="J13" s="95">
        <v>47652.802320653296</v>
      </c>
      <c r="K13" s="95">
        <v>54593.058843084233</v>
      </c>
      <c r="L13" s="95">
        <v>59694.422112222113</v>
      </c>
      <c r="M13" s="95">
        <v>59306.054904884928</v>
      </c>
      <c r="N13" s="95">
        <v>63980.291740931505</v>
      </c>
      <c r="O13" s="95">
        <v>59519.174609242204</v>
      </c>
      <c r="P13" s="95">
        <v>68719.143631469109</v>
      </c>
      <c r="Q13" s="95">
        <v>89767.232003086378</v>
      </c>
      <c r="R13" s="95">
        <v>129590.46361165862</v>
      </c>
      <c r="S13" s="95">
        <v>134069.78740932595</v>
      </c>
      <c r="T13" s="95">
        <v>142552.12444486585</v>
      </c>
      <c r="U13" s="95">
        <v>164090.34719709633</v>
      </c>
      <c r="V13" s="95">
        <v>169507.57376647874</v>
      </c>
      <c r="W13" s="95">
        <v>229745.91954330419</v>
      </c>
      <c r="X13" s="95">
        <v>292406.80827735586</v>
      </c>
      <c r="Y13" s="95">
        <v>365470.27352265501</v>
      </c>
      <c r="Z13" s="423" t="e">
        <f>'Calculo deuda'!F56</f>
        <v>#DIV/0!</v>
      </c>
      <c r="AA13" s="10" t="e">
        <f>'Calculo deuda'!G56</f>
        <v>#DIV/0!</v>
      </c>
      <c r="AB13" s="10" t="e">
        <f>'Calculo deuda'!H56</f>
        <v>#DIV/0!</v>
      </c>
      <c r="AC13" s="10" t="e">
        <f>'Calculo deuda'!I56</f>
        <v>#DIV/0!</v>
      </c>
      <c r="AD13" s="10" t="e">
        <f>'Calculo deuda'!J56</f>
        <v>#DIV/0!</v>
      </c>
      <c r="AE13" s="10" t="e">
        <f>'Calculo deuda'!K56</f>
        <v>#DIV/0!</v>
      </c>
      <c r="AF13" s="10" t="e">
        <f>'Calculo deuda'!L56</f>
        <v>#DIV/0!</v>
      </c>
      <c r="AG13" s="10" t="e">
        <f>'Calculo deuda'!M56</f>
        <v>#DIV/0!</v>
      </c>
      <c r="AH13" s="10" t="e">
        <f>'Calculo deuda'!N56</f>
        <v>#DIV/0!</v>
      </c>
      <c r="AI13" s="10" t="e">
        <f>'Calculo deuda'!O56</f>
        <v>#DIV/0!</v>
      </c>
      <c r="AJ13" s="10" t="e">
        <f>'Calculo deuda'!P56</f>
        <v>#DIV/0!</v>
      </c>
      <c r="AK13" s="265" t="e">
        <f>'Calculo deuda'!Q56</f>
        <v>#DIV/0!</v>
      </c>
      <c r="AM13" s="89"/>
      <c r="AN13" s="89"/>
      <c r="AO13" s="89"/>
      <c r="AP13" s="89"/>
      <c r="AQ13" s="89"/>
      <c r="AR13" s="89"/>
      <c r="AS13" s="89"/>
      <c r="AT13" s="89"/>
      <c r="AU13" s="89"/>
      <c r="AV13" s="89"/>
      <c r="AW13" s="89"/>
      <c r="AX13" s="89"/>
      <c r="AY13" s="89"/>
    </row>
    <row r="14" spans="1:51" s="11" customFormat="1">
      <c r="A14" s="366" t="s">
        <v>10</v>
      </c>
      <c r="B14" s="358">
        <v>107.111</v>
      </c>
      <c r="C14" s="358">
        <v>1394.9</v>
      </c>
      <c r="D14" s="358">
        <v>1498.1</v>
      </c>
      <c r="E14" s="358">
        <v>3033.21</v>
      </c>
      <c r="F14" s="358">
        <v>3170.6</v>
      </c>
      <c r="G14" s="358">
        <v>3910.5</v>
      </c>
      <c r="H14" s="358">
        <v>3769</v>
      </c>
      <c r="I14" s="358">
        <v>2023.1</v>
      </c>
      <c r="J14" s="358">
        <v>6899</v>
      </c>
      <c r="K14" s="358">
        <v>5217.569565531001</v>
      </c>
      <c r="L14" s="358">
        <v>6106.9220622240009</v>
      </c>
      <c r="M14" s="358">
        <v>8012.228542472707</v>
      </c>
      <c r="N14" s="358">
        <v>2150.7945999101798</v>
      </c>
      <c r="O14" s="358">
        <v>3771.1348972343103</v>
      </c>
      <c r="P14" s="358">
        <v>6263.6969133789999</v>
      </c>
      <c r="Q14" s="358">
        <v>5895.9895964658808</v>
      </c>
      <c r="R14" s="358">
        <v>11766.61896228454</v>
      </c>
      <c r="S14" s="358">
        <v>12386.029618948742</v>
      </c>
      <c r="T14" s="358">
        <v>13961.503350880561</v>
      </c>
      <c r="U14" s="358">
        <v>16163.727516440003</v>
      </c>
      <c r="V14" s="358">
        <v>18527.183784162997</v>
      </c>
      <c r="W14" s="358">
        <v>27506.511719527996</v>
      </c>
      <c r="X14" s="358">
        <v>22409.839486309025</v>
      </c>
      <c r="Y14" s="358">
        <f>Supuestos!E109</f>
        <v>44988.359710841003</v>
      </c>
      <c r="Z14" s="421">
        <f>Supuestos!F109</f>
        <v>0</v>
      </c>
      <c r="AA14" s="359">
        <f>Supuestos!G109</f>
        <v>0</v>
      </c>
      <c r="AB14" s="359">
        <f>Supuestos!H109</f>
        <v>0</v>
      </c>
      <c r="AC14" s="359">
        <f>Supuestos!I109</f>
        <v>0</v>
      </c>
      <c r="AD14" s="359">
        <f>Supuestos!J109</f>
        <v>0</v>
      </c>
      <c r="AE14" s="359">
        <f>Supuestos!K109</f>
        <v>0</v>
      </c>
      <c r="AF14" s="359">
        <f>Supuestos!L109</f>
        <v>0</v>
      </c>
      <c r="AG14" s="359">
        <f>Supuestos!M109</f>
        <v>0</v>
      </c>
      <c r="AH14" s="359">
        <f>Supuestos!N109</f>
        <v>0</v>
      </c>
      <c r="AI14" s="359">
        <f>Supuestos!O109</f>
        <v>0</v>
      </c>
      <c r="AJ14" s="359">
        <f>Supuestos!P109</f>
        <v>0</v>
      </c>
      <c r="AK14" s="360">
        <f>Supuestos!Q109</f>
        <v>0</v>
      </c>
      <c r="AM14" s="89"/>
      <c r="AN14" s="89"/>
      <c r="AO14" s="89"/>
      <c r="AP14" s="89"/>
      <c r="AQ14" s="89"/>
      <c r="AR14" s="89"/>
      <c r="AS14" s="89"/>
      <c r="AT14" s="89"/>
      <c r="AU14" s="89"/>
      <c r="AV14" s="89"/>
      <c r="AW14" s="89"/>
      <c r="AX14" s="89"/>
      <c r="AY14" s="89"/>
    </row>
    <row r="15" spans="1:51" s="11" customFormat="1">
      <c r="A15" s="366" t="s">
        <v>11</v>
      </c>
      <c r="B15" s="358">
        <f t="shared" ref="B15:AK15" si="6">SUM(B16:B18)</f>
        <v>4604.1857617000005</v>
      </c>
      <c r="C15" s="358">
        <f t="shared" si="6"/>
        <v>4065.59122418884</v>
      </c>
      <c r="D15" s="358">
        <f t="shared" si="6"/>
        <v>3198.1</v>
      </c>
      <c r="E15" s="358">
        <f t="shared" si="6"/>
        <v>4103</v>
      </c>
      <c r="F15" s="358">
        <f t="shared" si="6"/>
        <v>3195.3933044536398</v>
      </c>
      <c r="G15" s="358">
        <f t="shared" si="6"/>
        <v>4889.7892961790003</v>
      </c>
      <c r="H15" s="358">
        <f t="shared" si="6"/>
        <v>4341.3770525299806</v>
      </c>
      <c r="I15" s="358">
        <f t="shared" si="6"/>
        <v>4656.1190290695104</v>
      </c>
      <c r="J15" s="358">
        <f t="shared" si="6"/>
        <v>2938.5822637217398</v>
      </c>
      <c r="K15" s="358">
        <f t="shared" si="6"/>
        <v>3313.5587079626298</v>
      </c>
      <c r="L15" s="358">
        <f t="shared" si="6"/>
        <v>4782.9535675523211</v>
      </c>
      <c r="M15" s="358">
        <f t="shared" si="6"/>
        <v>6284.1925645031906</v>
      </c>
      <c r="N15" s="358">
        <f t="shared" si="6"/>
        <v>9918.9542974470714</v>
      </c>
      <c r="O15" s="358">
        <f t="shared" si="6"/>
        <v>11643.834909233381</v>
      </c>
      <c r="P15" s="358">
        <f t="shared" si="6"/>
        <v>12323.900936004189</v>
      </c>
      <c r="Q15" s="358">
        <f t="shared" si="6"/>
        <v>14526.43958095651</v>
      </c>
      <c r="R15" s="358">
        <f t="shared" si="6"/>
        <v>17793.782768629091</v>
      </c>
      <c r="S15" s="358">
        <f t="shared" si="6"/>
        <v>17032.473348712676</v>
      </c>
      <c r="T15" s="358">
        <f t="shared" si="6"/>
        <v>15025.212329867467</v>
      </c>
      <c r="U15" s="358">
        <f t="shared" si="6"/>
        <v>13243.192792778591</v>
      </c>
      <c r="V15" s="358">
        <f t="shared" si="6"/>
        <v>32876.893659561065</v>
      </c>
      <c r="W15" s="358">
        <f t="shared" si="6"/>
        <v>29760.869340323967</v>
      </c>
      <c r="X15" s="358">
        <f t="shared" si="6"/>
        <v>26732.670255368197</v>
      </c>
      <c r="Y15" s="358">
        <f t="shared" si="6"/>
        <v>21438.911373945131</v>
      </c>
      <c r="Z15" s="421">
        <f t="shared" si="6"/>
        <v>0</v>
      </c>
      <c r="AA15" s="359">
        <f t="shared" si="6"/>
        <v>0</v>
      </c>
      <c r="AB15" s="359">
        <f t="shared" si="6"/>
        <v>0</v>
      </c>
      <c r="AC15" s="359">
        <f t="shared" si="6"/>
        <v>0</v>
      </c>
      <c r="AD15" s="359">
        <f t="shared" si="6"/>
        <v>0</v>
      </c>
      <c r="AE15" s="359">
        <f t="shared" si="6"/>
        <v>0</v>
      </c>
      <c r="AF15" s="359">
        <f t="shared" si="6"/>
        <v>0</v>
      </c>
      <c r="AG15" s="359">
        <f t="shared" si="6"/>
        <v>0</v>
      </c>
      <c r="AH15" s="359">
        <f t="shared" si="6"/>
        <v>0</v>
      </c>
      <c r="AI15" s="359">
        <f t="shared" si="6"/>
        <v>0</v>
      </c>
      <c r="AJ15" s="359">
        <f t="shared" si="6"/>
        <v>0</v>
      </c>
      <c r="AK15" s="360">
        <f t="shared" si="6"/>
        <v>0</v>
      </c>
      <c r="AM15" s="89"/>
      <c r="AN15" s="89"/>
      <c r="AO15" s="89"/>
      <c r="AP15" s="89"/>
      <c r="AQ15" s="89"/>
      <c r="AR15" s="89"/>
      <c r="AS15" s="89"/>
      <c r="AT15" s="89"/>
      <c r="AU15" s="89"/>
      <c r="AV15" s="89"/>
      <c r="AW15" s="89"/>
      <c r="AX15" s="89"/>
      <c r="AY15" s="89"/>
    </row>
    <row r="16" spans="1:51">
      <c r="A16" s="368" t="s">
        <v>12</v>
      </c>
      <c r="B16" s="95">
        <v>4604.1857617000005</v>
      </c>
      <c r="C16" s="95">
        <v>4065.59122418884</v>
      </c>
      <c r="D16" s="95">
        <v>3198.1</v>
      </c>
      <c r="E16" s="95">
        <v>4103</v>
      </c>
      <c r="F16" s="95">
        <v>3195.3933044536398</v>
      </c>
      <c r="G16" s="95">
        <v>4889.7892961790003</v>
      </c>
      <c r="H16" s="95">
        <v>4341.3770525299806</v>
      </c>
      <c r="I16" s="95">
        <v>4656.1190290695104</v>
      </c>
      <c r="J16" s="95">
        <v>2938.5822637217398</v>
      </c>
      <c r="K16" s="95">
        <v>3313.5587079626298</v>
      </c>
      <c r="L16" s="95">
        <v>4782.9535675523211</v>
      </c>
      <c r="M16" s="95">
        <v>6284.1925645031906</v>
      </c>
      <c r="N16" s="95">
        <v>9918.9542974470714</v>
      </c>
      <c r="O16" s="95">
        <v>11643.834909233381</v>
      </c>
      <c r="P16" s="95">
        <v>12323.900936004189</v>
      </c>
      <c r="Q16" s="95">
        <v>10251.062782682511</v>
      </c>
      <c r="R16" s="95">
        <v>7928.096961138086</v>
      </c>
      <c r="S16" s="95">
        <v>5582.1638959206784</v>
      </c>
      <c r="T16" s="95">
        <v>3804.1129645184669</v>
      </c>
      <c r="U16" s="95">
        <v>836.66409863259253</v>
      </c>
      <c r="V16" s="95">
        <v>290.11302956134506</v>
      </c>
      <c r="W16" s="95">
        <v>158.80636756679948</v>
      </c>
      <c r="X16" s="95">
        <v>399.0107549339823</v>
      </c>
      <c r="Y16" s="95">
        <v>276.49208796638959</v>
      </c>
      <c r="Z16" s="423">
        <f>Supuestos!F111</f>
        <v>0</v>
      </c>
      <c r="AA16" s="10">
        <f>Supuestos!G111</f>
        <v>0</v>
      </c>
      <c r="AB16" s="10">
        <f>Supuestos!H111</f>
        <v>0</v>
      </c>
      <c r="AC16" s="10">
        <f>Supuestos!I111</f>
        <v>0</v>
      </c>
      <c r="AD16" s="10">
        <f>Supuestos!J111</f>
        <v>0</v>
      </c>
      <c r="AE16" s="10">
        <f>Supuestos!K111</f>
        <v>0</v>
      </c>
      <c r="AF16" s="10">
        <f>Supuestos!L111</f>
        <v>0</v>
      </c>
      <c r="AG16" s="10">
        <f>Supuestos!M111</f>
        <v>0</v>
      </c>
      <c r="AH16" s="10">
        <f>Supuestos!N111</f>
        <v>0</v>
      </c>
      <c r="AI16" s="10">
        <f>Supuestos!O111</f>
        <v>0</v>
      </c>
      <c r="AJ16" s="10">
        <f>Supuestos!P111</f>
        <v>0</v>
      </c>
      <c r="AK16" s="265">
        <f>Supuestos!Q111</f>
        <v>0</v>
      </c>
      <c r="AM16" s="89"/>
      <c r="AN16" s="89"/>
      <c r="AO16" s="89"/>
      <c r="AP16" s="89"/>
      <c r="AQ16" s="89"/>
      <c r="AR16" s="89"/>
      <c r="AS16" s="89"/>
      <c r="AT16" s="89"/>
      <c r="AU16" s="89"/>
      <c r="AV16" s="89"/>
      <c r="AW16" s="89"/>
      <c r="AX16" s="89"/>
      <c r="AY16" s="89"/>
    </row>
    <row r="17" spans="1:51">
      <c r="A17" s="368" t="s">
        <v>13</v>
      </c>
      <c r="B17" s="95">
        <v>0</v>
      </c>
      <c r="C17" s="95">
        <v>0</v>
      </c>
      <c r="D17" s="95">
        <v>0</v>
      </c>
      <c r="E17" s="95">
        <v>0</v>
      </c>
      <c r="F17" s="95">
        <v>0</v>
      </c>
      <c r="G17" s="95">
        <v>0</v>
      </c>
      <c r="H17" s="95">
        <v>0</v>
      </c>
      <c r="I17" s="95">
        <v>0</v>
      </c>
      <c r="J17" s="95">
        <v>0</v>
      </c>
      <c r="K17" s="95">
        <v>0</v>
      </c>
      <c r="L17" s="95">
        <v>0</v>
      </c>
      <c r="M17" s="95">
        <v>0</v>
      </c>
      <c r="N17" s="95">
        <v>0</v>
      </c>
      <c r="O17" s="95">
        <v>0</v>
      </c>
      <c r="P17" s="95">
        <v>0</v>
      </c>
      <c r="Q17" s="95">
        <v>4275.3767982739992</v>
      </c>
      <c r="R17" s="95">
        <v>9865.6858074910033</v>
      </c>
      <c r="S17" s="95">
        <v>11450.309452791997</v>
      </c>
      <c r="T17" s="95">
        <v>11221.099365349</v>
      </c>
      <c r="U17" s="95">
        <v>12406.528694145998</v>
      </c>
      <c r="V17" s="95">
        <v>14805.373362999999</v>
      </c>
      <c r="W17" s="95">
        <v>14019.5623690916</v>
      </c>
      <c r="X17" s="95">
        <v>14279.194083009001</v>
      </c>
      <c r="Y17" s="95">
        <v>17177.052082803999</v>
      </c>
      <c r="Z17" s="423">
        <f>Supuestos!F113</f>
        <v>0</v>
      </c>
      <c r="AA17" s="10">
        <f>Supuestos!G113</f>
        <v>0</v>
      </c>
      <c r="AB17" s="10">
        <f>Supuestos!H113</f>
        <v>0</v>
      </c>
      <c r="AC17" s="10">
        <f>Supuestos!I113</f>
        <v>0</v>
      </c>
      <c r="AD17" s="10">
        <f>Supuestos!J113</f>
        <v>0</v>
      </c>
      <c r="AE17" s="10">
        <f>Supuestos!K113</f>
        <v>0</v>
      </c>
      <c r="AF17" s="10">
        <f>Supuestos!L113</f>
        <v>0</v>
      </c>
      <c r="AG17" s="10">
        <f>Supuestos!M113</f>
        <v>0</v>
      </c>
      <c r="AH17" s="10">
        <f>Supuestos!N113</f>
        <v>0</v>
      </c>
      <c r="AI17" s="10">
        <f>Supuestos!O113</f>
        <v>0</v>
      </c>
      <c r="AJ17" s="10">
        <f>Supuestos!P113</f>
        <v>0</v>
      </c>
      <c r="AK17" s="265">
        <f>Supuestos!Q113</f>
        <v>0</v>
      </c>
      <c r="AM17" s="89"/>
      <c r="AN17" s="89"/>
      <c r="AO17" s="89"/>
      <c r="AP17" s="89"/>
      <c r="AQ17" s="89"/>
      <c r="AR17" s="89"/>
      <c r="AS17" s="89"/>
      <c r="AT17" s="89"/>
      <c r="AU17" s="89"/>
      <c r="AV17" s="89"/>
      <c r="AW17" s="89"/>
      <c r="AX17" s="89"/>
      <c r="AY17" s="89"/>
    </row>
    <row r="18" spans="1:51">
      <c r="A18" s="368" t="s">
        <v>14</v>
      </c>
      <c r="B18" s="95">
        <v>0</v>
      </c>
      <c r="C18" s="95">
        <v>0</v>
      </c>
      <c r="D18" s="95">
        <v>0</v>
      </c>
      <c r="E18" s="95">
        <v>0</v>
      </c>
      <c r="F18" s="95">
        <v>0</v>
      </c>
      <c r="G18" s="95">
        <v>0</v>
      </c>
      <c r="H18" s="95">
        <v>0</v>
      </c>
      <c r="I18" s="95">
        <v>0</v>
      </c>
      <c r="J18" s="95">
        <v>0</v>
      </c>
      <c r="K18" s="95">
        <v>0</v>
      </c>
      <c r="L18" s="95">
        <v>0</v>
      </c>
      <c r="M18" s="95">
        <v>0</v>
      </c>
      <c r="N18" s="95">
        <v>0</v>
      </c>
      <c r="O18" s="95">
        <v>0</v>
      </c>
      <c r="P18" s="95">
        <v>0</v>
      </c>
      <c r="Q18" s="95">
        <v>0</v>
      </c>
      <c r="R18" s="95">
        <v>0</v>
      </c>
      <c r="S18" s="95">
        <v>0</v>
      </c>
      <c r="T18" s="95">
        <v>0</v>
      </c>
      <c r="U18" s="95">
        <v>0</v>
      </c>
      <c r="V18" s="95">
        <v>17781.407266999719</v>
      </c>
      <c r="W18" s="95">
        <v>15582.500603665569</v>
      </c>
      <c r="X18" s="95">
        <v>12054.465417425215</v>
      </c>
      <c r="Y18" s="95">
        <v>3985.3672031747456</v>
      </c>
      <c r="Z18" s="425">
        <f>Supuestos!F119</f>
        <v>0</v>
      </c>
      <c r="AA18" s="44">
        <f>Supuestos!G119</f>
        <v>0</v>
      </c>
      <c r="AB18" s="44">
        <f>Supuestos!H119</f>
        <v>0</v>
      </c>
      <c r="AC18" s="44">
        <f>Supuestos!I119</f>
        <v>0</v>
      </c>
      <c r="AD18" s="44">
        <f>Supuestos!J119</f>
        <v>0</v>
      </c>
      <c r="AE18" s="44">
        <f>Supuestos!K119</f>
        <v>0</v>
      </c>
      <c r="AF18" s="44">
        <f>Supuestos!L119</f>
        <v>0</v>
      </c>
      <c r="AG18" s="44">
        <f>Supuestos!M119</f>
        <v>0</v>
      </c>
      <c r="AH18" s="44">
        <f>Supuestos!N119</f>
        <v>0</v>
      </c>
      <c r="AI18" s="44">
        <f>Supuestos!O119</f>
        <v>0</v>
      </c>
      <c r="AJ18" s="44">
        <f>Supuestos!P119</f>
        <v>0</v>
      </c>
      <c r="AK18" s="264">
        <f>Supuestos!Q119</f>
        <v>0</v>
      </c>
      <c r="AM18" s="89"/>
      <c r="AN18" s="89"/>
      <c r="AO18" s="89"/>
      <c r="AP18" s="89"/>
      <c r="AQ18" s="89"/>
      <c r="AR18" s="89"/>
      <c r="AS18" s="89"/>
      <c r="AT18" s="89"/>
      <c r="AU18" s="89"/>
      <c r="AV18" s="89"/>
      <c r="AW18" s="89"/>
      <c r="AX18" s="89"/>
      <c r="AY18" s="89"/>
    </row>
    <row r="19" spans="1:51" s="11" customFormat="1">
      <c r="A19" s="366" t="s">
        <v>15</v>
      </c>
      <c r="B19" s="358">
        <f t="shared" ref="B19:AK19" si="7">SUM(B20:B21)</f>
        <v>2503.6406878192706</v>
      </c>
      <c r="C19" s="358">
        <f t="shared" si="7"/>
        <v>2415.0637927336988</v>
      </c>
      <c r="D19" s="358">
        <f t="shared" si="7"/>
        <v>5488.3823483722936</v>
      </c>
      <c r="E19" s="358">
        <f t="shared" si="7"/>
        <v>2161.7547760803973</v>
      </c>
      <c r="F19" s="358">
        <f t="shared" si="7"/>
        <v>2976.8205622250066</v>
      </c>
      <c r="G19" s="358">
        <f t="shared" si="7"/>
        <v>5407.6817612911882</v>
      </c>
      <c r="H19" s="358">
        <f t="shared" si="7"/>
        <v>7511.463675596804</v>
      </c>
      <c r="I19" s="358">
        <f t="shared" si="7"/>
        <v>7843.2429516860411</v>
      </c>
      <c r="J19" s="358">
        <f t="shared" si="7"/>
        <v>3373.4433489910662</v>
      </c>
      <c r="K19" s="358">
        <f t="shared" si="7"/>
        <v>3799.5729079973689</v>
      </c>
      <c r="L19" s="358">
        <f t="shared" si="7"/>
        <v>6806.7927911873403</v>
      </c>
      <c r="M19" s="358">
        <f t="shared" si="7"/>
        <v>7859.7827847366316</v>
      </c>
      <c r="N19" s="358">
        <f t="shared" si="7"/>
        <v>11698.656532121709</v>
      </c>
      <c r="O19" s="358">
        <f t="shared" si="7"/>
        <v>6864.3121530415046</v>
      </c>
      <c r="P19" s="358">
        <f t="shared" si="7"/>
        <v>17552.157854957091</v>
      </c>
      <c r="Q19" s="358">
        <f t="shared" si="7"/>
        <v>24339.184516048801</v>
      </c>
      <c r="R19" s="358">
        <f t="shared" si="7"/>
        <v>22854.602274039389</v>
      </c>
      <c r="S19" s="358">
        <f t="shared" si="7"/>
        <v>21249.053361661609</v>
      </c>
      <c r="T19" s="358">
        <f t="shared" si="7"/>
        <v>23877.912280205801</v>
      </c>
      <c r="U19" s="358">
        <f t="shared" si="7"/>
        <v>29490.094889541029</v>
      </c>
      <c r="V19" s="358">
        <f t="shared" si="7"/>
        <v>20723.702366336616</v>
      </c>
      <c r="W19" s="358">
        <f t="shared" si="7"/>
        <v>43709.173329880767</v>
      </c>
      <c r="X19" s="358">
        <f t="shared" si="7"/>
        <v>34842.805577530758</v>
      </c>
      <c r="Y19" s="358">
        <f t="shared" si="7"/>
        <v>46747.521336883219</v>
      </c>
      <c r="Z19" s="421">
        <f t="shared" si="7"/>
        <v>0</v>
      </c>
      <c r="AA19" s="359">
        <f t="shared" si="7"/>
        <v>0</v>
      </c>
      <c r="AB19" s="359">
        <f t="shared" si="7"/>
        <v>0</v>
      </c>
      <c r="AC19" s="359">
        <f t="shared" si="7"/>
        <v>0</v>
      </c>
      <c r="AD19" s="359">
        <f t="shared" si="7"/>
        <v>0</v>
      </c>
      <c r="AE19" s="359">
        <f t="shared" si="7"/>
        <v>0</v>
      </c>
      <c r="AF19" s="359">
        <f t="shared" si="7"/>
        <v>0</v>
      </c>
      <c r="AG19" s="359">
        <f t="shared" si="7"/>
        <v>0</v>
      </c>
      <c r="AH19" s="359">
        <f t="shared" si="7"/>
        <v>0</v>
      </c>
      <c r="AI19" s="359">
        <f t="shared" si="7"/>
        <v>0</v>
      </c>
      <c r="AJ19" s="359">
        <f t="shared" si="7"/>
        <v>0</v>
      </c>
      <c r="AK19" s="360">
        <f t="shared" si="7"/>
        <v>0</v>
      </c>
      <c r="AM19" s="89"/>
      <c r="AN19" s="89"/>
      <c r="AO19" s="89"/>
      <c r="AP19" s="89"/>
      <c r="AQ19" s="89"/>
      <c r="AR19" s="89"/>
      <c r="AS19" s="89"/>
      <c r="AT19" s="89"/>
      <c r="AU19" s="89"/>
      <c r="AV19" s="89"/>
      <c r="AW19" s="89"/>
      <c r="AX19" s="89"/>
      <c r="AY19" s="89"/>
    </row>
    <row r="20" spans="1:51">
      <c r="A20" s="368" t="s">
        <v>16</v>
      </c>
      <c r="B20" s="95">
        <v>1094.3660913142726</v>
      </c>
      <c r="C20" s="95">
        <v>973.66553101967054</v>
      </c>
      <c r="D20" s="95">
        <v>1399.9736091198406</v>
      </c>
      <c r="E20" s="95">
        <v>1115.50056808718</v>
      </c>
      <c r="F20" s="95">
        <v>1238.9691263885584</v>
      </c>
      <c r="G20" s="95">
        <v>2746.7761052988399</v>
      </c>
      <c r="H20" s="95">
        <v>4365.9956048518598</v>
      </c>
      <c r="I20" s="95">
        <v>3432.303233778</v>
      </c>
      <c r="J20" s="95">
        <v>2436.6331753639897</v>
      </c>
      <c r="K20" s="95">
        <v>2495.5794029599501</v>
      </c>
      <c r="L20" s="95">
        <v>1869.0785997155699</v>
      </c>
      <c r="M20" s="95">
        <v>5265.9656194395102</v>
      </c>
      <c r="N20" s="95">
        <v>8735.7655271595104</v>
      </c>
      <c r="O20" s="95">
        <v>5794.6618088717396</v>
      </c>
      <c r="P20" s="95">
        <v>15378.012050869</v>
      </c>
      <c r="Q20" s="95">
        <v>21893.027473919999</v>
      </c>
      <c r="R20" s="95">
        <v>17281.376250085119</v>
      </c>
      <c r="S20" s="95">
        <v>12789.98193111293</v>
      </c>
      <c r="T20" s="95">
        <v>16247.18915120324</v>
      </c>
      <c r="U20" s="95">
        <v>20508.16226804661</v>
      </c>
      <c r="V20" s="95">
        <v>14050.800415006592</v>
      </c>
      <c r="W20" s="95">
        <v>29285.554446906139</v>
      </c>
      <c r="X20" s="95">
        <v>27665.357199583286</v>
      </c>
      <c r="Y20" s="95">
        <v>34120.924499783774</v>
      </c>
      <c r="Z20" s="423">
        <f>Supuestos!F115</f>
        <v>0</v>
      </c>
      <c r="AA20" s="10">
        <f>Supuestos!G115</f>
        <v>0</v>
      </c>
      <c r="AB20" s="10">
        <f>Supuestos!H115</f>
        <v>0</v>
      </c>
      <c r="AC20" s="10">
        <f>Supuestos!I115</f>
        <v>0</v>
      </c>
      <c r="AD20" s="10">
        <f>Supuestos!J115</f>
        <v>0</v>
      </c>
      <c r="AE20" s="10">
        <f>Supuestos!K115</f>
        <v>0</v>
      </c>
      <c r="AF20" s="10">
        <f>Supuestos!L115</f>
        <v>0</v>
      </c>
      <c r="AG20" s="10">
        <f>Supuestos!M115</f>
        <v>0</v>
      </c>
      <c r="AH20" s="10">
        <f>Supuestos!N115</f>
        <v>0</v>
      </c>
      <c r="AI20" s="10">
        <f>Supuestos!O115</f>
        <v>0</v>
      </c>
      <c r="AJ20" s="10">
        <f>Supuestos!P115</f>
        <v>0</v>
      </c>
      <c r="AK20" s="265">
        <f>Supuestos!Q115</f>
        <v>0</v>
      </c>
      <c r="AM20" s="89"/>
      <c r="AN20" s="89"/>
      <c r="AO20" s="89"/>
      <c r="AP20" s="89"/>
      <c r="AQ20" s="89"/>
      <c r="AR20" s="89"/>
      <c r="AS20" s="89"/>
      <c r="AT20" s="89"/>
      <c r="AU20" s="89"/>
      <c r="AV20" s="89"/>
      <c r="AW20" s="89"/>
      <c r="AX20" s="89"/>
      <c r="AY20" s="89"/>
    </row>
    <row r="21" spans="1:51">
      <c r="A21" s="368" t="s">
        <v>17</v>
      </c>
      <c r="B21" s="95">
        <v>1409.274596504998</v>
      </c>
      <c r="C21" s="95">
        <v>1441.3982617140282</v>
      </c>
      <c r="D21" s="95">
        <v>4088.4087392524525</v>
      </c>
      <c r="E21" s="95">
        <v>1046.2542079932173</v>
      </c>
      <c r="F21" s="95">
        <v>1737.8514358364482</v>
      </c>
      <c r="G21" s="95">
        <v>2660.9056559923483</v>
      </c>
      <c r="H21" s="95">
        <v>3145.4680707449443</v>
      </c>
      <c r="I21" s="95">
        <v>4410.9397179080406</v>
      </c>
      <c r="J21" s="95">
        <v>936.81017362707644</v>
      </c>
      <c r="K21" s="95">
        <v>1303.9935050374188</v>
      </c>
      <c r="L21" s="95">
        <v>4937.7141914717704</v>
      </c>
      <c r="M21" s="95">
        <v>2593.8171652971214</v>
      </c>
      <c r="N21" s="95">
        <v>2962.8910049622</v>
      </c>
      <c r="O21" s="95">
        <v>1069.650344169765</v>
      </c>
      <c r="P21" s="95">
        <v>2174.1458040880898</v>
      </c>
      <c r="Q21" s="95">
        <v>2446.1570421288006</v>
      </c>
      <c r="R21" s="95">
        <v>5573.2260239542693</v>
      </c>
      <c r="S21" s="95">
        <v>8459.0714305486799</v>
      </c>
      <c r="T21" s="95">
        <v>7630.7231290025602</v>
      </c>
      <c r="U21" s="95">
        <v>8981.9326214944194</v>
      </c>
      <c r="V21" s="95">
        <v>6672.9019513300254</v>
      </c>
      <c r="W21" s="95">
        <v>14423.618882974624</v>
      </c>
      <c r="X21" s="95">
        <v>7177.4483779474758</v>
      </c>
      <c r="Y21" s="95">
        <v>12626.596837099449</v>
      </c>
      <c r="Z21" s="423">
        <f>Supuestos!F116</f>
        <v>0</v>
      </c>
      <c r="AA21" s="10">
        <f>Supuestos!G116</f>
        <v>0</v>
      </c>
      <c r="AB21" s="10">
        <f>Supuestos!H116</f>
        <v>0</v>
      </c>
      <c r="AC21" s="10">
        <f>Supuestos!I116</f>
        <v>0</v>
      </c>
      <c r="AD21" s="10">
        <f>Supuestos!J116</f>
        <v>0</v>
      </c>
      <c r="AE21" s="10">
        <f>Supuestos!K116</f>
        <v>0</v>
      </c>
      <c r="AF21" s="10">
        <f>Supuestos!L116</f>
        <v>0</v>
      </c>
      <c r="AG21" s="10">
        <f>Supuestos!M116</f>
        <v>0</v>
      </c>
      <c r="AH21" s="10">
        <f>Supuestos!N116</f>
        <v>0</v>
      </c>
      <c r="AI21" s="10">
        <f>Supuestos!O116</f>
        <v>0</v>
      </c>
      <c r="AJ21" s="10">
        <f>Supuestos!P116</f>
        <v>0</v>
      </c>
      <c r="AK21" s="265">
        <f>Supuestos!Q116</f>
        <v>0</v>
      </c>
      <c r="AM21" s="89"/>
      <c r="AN21" s="89"/>
      <c r="AO21" s="89"/>
      <c r="AP21" s="89"/>
      <c r="AQ21" s="89"/>
      <c r="AR21" s="89"/>
      <c r="AS21" s="89"/>
      <c r="AT21" s="89"/>
      <c r="AU21" s="89"/>
      <c r="AV21" s="89"/>
      <c r="AW21" s="89"/>
      <c r="AX21" s="89"/>
      <c r="AY21" s="89"/>
    </row>
    <row r="22" spans="1:51" s="11" customFormat="1">
      <c r="A22" s="366" t="s">
        <v>18</v>
      </c>
      <c r="B22" s="358">
        <f t="shared" ref="B22:AK22" si="8">B24+B26</f>
        <v>49932.799691266715</v>
      </c>
      <c r="C22" s="358">
        <f t="shared" si="8"/>
        <v>72237.400867849225</v>
      </c>
      <c r="D22" s="358">
        <f t="shared" si="8"/>
        <v>85185.632458788838</v>
      </c>
      <c r="E22" s="358">
        <f t="shared" si="8"/>
        <v>109952.5175957559</v>
      </c>
      <c r="F22" s="358">
        <f t="shared" si="8"/>
        <v>121149.83414010299</v>
      </c>
      <c r="G22" s="358">
        <f t="shared" si="8"/>
        <v>125379.71036530138</v>
      </c>
      <c r="H22" s="358">
        <f t="shared" si="8"/>
        <v>136680.26149622689</v>
      </c>
      <c r="I22" s="358">
        <f t="shared" si="8"/>
        <v>145847.57273305705</v>
      </c>
      <c r="J22" s="358">
        <f t="shared" si="8"/>
        <v>153178.83891155908</v>
      </c>
      <c r="K22" s="358">
        <f t="shared" si="8"/>
        <v>168038.32422662847</v>
      </c>
      <c r="L22" s="358">
        <f t="shared" si="8"/>
        <v>183310.33011550616</v>
      </c>
      <c r="M22" s="358">
        <f t="shared" si="8"/>
        <v>201264.69578230509</v>
      </c>
      <c r="N22" s="358">
        <f t="shared" si="8"/>
        <v>212913.88582274012</v>
      </c>
      <c r="O22" s="358">
        <f t="shared" si="8"/>
        <v>221068.9342494231</v>
      </c>
      <c r="P22" s="358">
        <f t="shared" si="8"/>
        <v>244131.06905279655</v>
      </c>
      <c r="Q22" s="358">
        <f t="shared" si="8"/>
        <v>280053.18462328822</v>
      </c>
      <c r="R22" s="358">
        <f t="shared" si="8"/>
        <v>336138.9138705011</v>
      </c>
      <c r="S22" s="358">
        <f t="shared" si="8"/>
        <v>372868.8191514393</v>
      </c>
      <c r="T22" s="358">
        <f t="shared" si="8"/>
        <v>403033.21231852047</v>
      </c>
      <c r="U22" s="358">
        <f t="shared" si="8"/>
        <v>457779.02446587139</v>
      </c>
      <c r="V22" s="358">
        <f t="shared" si="8"/>
        <v>512959.64205970318</v>
      </c>
      <c r="W22" s="358">
        <f t="shared" si="8"/>
        <v>605643.58723928884</v>
      </c>
      <c r="X22" s="358">
        <f t="shared" si="8"/>
        <v>716208.64989379386</v>
      </c>
      <c r="Y22" s="358">
        <f t="shared" si="8"/>
        <v>847436.06570238201</v>
      </c>
      <c r="Z22" s="421" t="e">
        <f t="shared" si="8"/>
        <v>#DIV/0!</v>
      </c>
      <c r="AA22" s="359" t="e">
        <f t="shared" si="8"/>
        <v>#DIV/0!</v>
      </c>
      <c r="AB22" s="359" t="e">
        <f t="shared" si="8"/>
        <v>#DIV/0!</v>
      </c>
      <c r="AC22" s="359" t="e">
        <f t="shared" si="8"/>
        <v>#DIV/0!</v>
      </c>
      <c r="AD22" s="359" t="e">
        <f t="shared" si="8"/>
        <v>#DIV/0!</v>
      </c>
      <c r="AE22" s="359" t="e">
        <f t="shared" si="8"/>
        <v>#DIV/0!</v>
      </c>
      <c r="AF22" s="359" t="e">
        <f t="shared" si="8"/>
        <v>#DIV/0!</v>
      </c>
      <c r="AG22" s="359" t="e">
        <f t="shared" si="8"/>
        <v>#DIV/0!</v>
      </c>
      <c r="AH22" s="359" t="e">
        <f t="shared" si="8"/>
        <v>#DIV/0!</v>
      </c>
      <c r="AI22" s="359" t="e">
        <f t="shared" si="8"/>
        <v>#DIV/0!</v>
      </c>
      <c r="AJ22" s="359" t="e">
        <f t="shared" si="8"/>
        <v>#DIV/0!</v>
      </c>
      <c r="AK22" s="360" t="e">
        <f t="shared" si="8"/>
        <v>#DIV/0!</v>
      </c>
      <c r="AM22" s="89"/>
      <c r="AN22" s="89"/>
      <c r="AO22" s="89"/>
      <c r="AP22" s="89"/>
      <c r="AQ22" s="89"/>
      <c r="AR22" s="89"/>
      <c r="AS22" s="89"/>
      <c r="AT22" s="89"/>
      <c r="AU22" s="89"/>
      <c r="AV22" s="89"/>
      <c r="AW22" s="89"/>
      <c r="AX22" s="89"/>
      <c r="AY22" s="89"/>
    </row>
    <row r="23" spans="1:51">
      <c r="A23" s="367" t="s">
        <v>19</v>
      </c>
      <c r="B23" s="361">
        <f t="shared" ref="B23:AK23" si="9">B25+B26</f>
        <v>45328.613929566716</v>
      </c>
      <c r="C23" s="361">
        <f t="shared" si="9"/>
        <v>68171.809643660396</v>
      </c>
      <c r="D23" s="361">
        <f t="shared" si="9"/>
        <v>81987.532458788846</v>
      </c>
      <c r="E23" s="361">
        <f t="shared" si="9"/>
        <v>105849.5175957559</v>
      </c>
      <c r="F23" s="361">
        <f t="shared" si="9"/>
        <v>117954.44083564935</v>
      </c>
      <c r="G23" s="361">
        <f t="shared" si="9"/>
        <v>120489.92106912236</v>
      </c>
      <c r="H23" s="361">
        <f t="shared" si="9"/>
        <v>132338.88444369691</v>
      </c>
      <c r="I23" s="361">
        <f t="shared" si="9"/>
        <v>141191.45370398753</v>
      </c>
      <c r="J23" s="361">
        <f t="shared" si="9"/>
        <v>150240.25664783735</v>
      </c>
      <c r="K23" s="361">
        <f t="shared" si="9"/>
        <v>164724.76551866584</v>
      </c>
      <c r="L23" s="361">
        <f t="shared" si="9"/>
        <v>178527.37654795384</v>
      </c>
      <c r="M23" s="361">
        <f t="shared" si="9"/>
        <v>194980.50321780189</v>
      </c>
      <c r="N23" s="361">
        <f t="shared" si="9"/>
        <v>202994.93152529304</v>
      </c>
      <c r="O23" s="361">
        <f t="shared" si="9"/>
        <v>209425.09934018971</v>
      </c>
      <c r="P23" s="361">
        <f t="shared" si="9"/>
        <v>231807.16811679237</v>
      </c>
      <c r="Q23" s="361">
        <f t="shared" si="9"/>
        <v>269802.12184060575</v>
      </c>
      <c r="R23" s="361">
        <f t="shared" si="9"/>
        <v>328210.81690936303</v>
      </c>
      <c r="S23" s="361">
        <f t="shared" si="9"/>
        <v>367286.65525551862</v>
      </c>
      <c r="T23" s="361">
        <f t="shared" si="9"/>
        <v>399229.09935400198</v>
      </c>
      <c r="U23" s="361">
        <f t="shared" si="9"/>
        <v>456942.36036723875</v>
      </c>
      <c r="V23" s="361">
        <f t="shared" si="9"/>
        <v>494888.12176314212</v>
      </c>
      <c r="W23" s="361">
        <f t="shared" si="9"/>
        <v>589902.28026805655</v>
      </c>
      <c r="X23" s="361">
        <f t="shared" si="9"/>
        <v>703755.17372143466</v>
      </c>
      <c r="Y23" s="361">
        <f t="shared" si="9"/>
        <v>843174.20641124086</v>
      </c>
      <c r="Z23" s="422" t="e">
        <f t="shared" si="9"/>
        <v>#DIV/0!</v>
      </c>
      <c r="AA23" s="362" t="e">
        <f t="shared" si="9"/>
        <v>#DIV/0!</v>
      </c>
      <c r="AB23" s="362" t="e">
        <f t="shared" si="9"/>
        <v>#DIV/0!</v>
      </c>
      <c r="AC23" s="362" t="e">
        <f t="shared" si="9"/>
        <v>#DIV/0!</v>
      </c>
      <c r="AD23" s="362" t="e">
        <f t="shared" si="9"/>
        <v>#DIV/0!</v>
      </c>
      <c r="AE23" s="362" t="e">
        <f t="shared" si="9"/>
        <v>#DIV/0!</v>
      </c>
      <c r="AF23" s="362" t="e">
        <f t="shared" si="9"/>
        <v>#DIV/0!</v>
      </c>
      <c r="AG23" s="362" t="e">
        <f t="shared" si="9"/>
        <v>#DIV/0!</v>
      </c>
      <c r="AH23" s="362" t="e">
        <f t="shared" si="9"/>
        <v>#DIV/0!</v>
      </c>
      <c r="AI23" s="362" t="e">
        <f t="shared" si="9"/>
        <v>#DIV/0!</v>
      </c>
      <c r="AJ23" s="362" t="e">
        <f t="shared" si="9"/>
        <v>#DIV/0!</v>
      </c>
      <c r="AK23" s="363" t="e">
        <f t="shared" si="9"/>
        <v>#DIV/0!</v>
      </c>
      <c r="AM23" s="89"/>
      <c r="AN23" s="89"/>
      <c r="AO23" s="89"/>
      <c r="AP23" s="89"/>
      <c r="AQ23" s="89"/>
      <c r="AR23" s="89"/>
      <c r="AS23" s="89"/>
      <c r="AT23" s="89"/>
      <c r="AU23" s="89"/>
      <c r="AV23" s="89"/>
      <c r="AW23" s="89"/>
      <c r="AX23" s="89"/>
      <c r="AY23" s="89"/>
    </row>
    <row r="24" spans="1:51">
      <c r="A24" s="368" t="s">
        <v>20</v>
      </c>
      <c r="B24" s="145">
        <f t="shared" ref="B24:AK24" si="10">B8-B20</f>
        <v>28699.690928340591</v>
      </c>
      <c r="C24" s="145">
        <f t="shared" si="10"/>
        <v>41743.52419523344</v>
      </c>
      <c r="D24" s="145">
        <f t="shared" si="10"/>
        <v>47531.903880484453</v>
      </c>
      <c r="E24" s="145">
        <f t="shared" si="10"/>
        <v>59421.737820039692</v>
      </c>
      <c r="F24" s="145">
        <f t="shared" si="10"/>
        <v>66076.80596510446</v>
      </c>
      <c r="G24" s="145">
        <f t="shared" si="10"/>
        <v>74685.612619082342</v>
      </c>
      <c r="H24" s="145">
        <f t="shared" si="10"/>
        <v>92200.049725030171</v>
      </c>
      <c r="I24" s="145">
        <f t="shared" si="10"/>
        <v>97645.511617349213</v>
      </c>
      <c r="J24" s="145">
        <f t="shared" si="10"/>
        <v>106462.84676453285</v>
      </c>
      <c r="K24" s="145">
        <f t="shared" si="10"/>
        <v>114749.25888858165</v>
      </c>
      <c r="L24" s="145">
        <f t="shared" si="10"/>
        <v>128553.62219475582</v>
      </c>
      <c r="M24" s="145">
        <f t="shared" si="10"/>
        <v>144552.45804271728</v>
      </c>
      <c r="N24" s="145">
        <f t="shared" si="10"/>
        <v>151896.48508677082</v>
      </c>
      <c r="O24" s="145">
        <f t="shared" si="10"/>
        <v>162619.40998435064</v>
      </c>
      <c r="P24" s="145">
        <f t="shared" si="10"/>
        <v>177586.07122541554</v>
      </c>
      <c r="Q24" s="145">
        <f t="shared" si="10"/>
        <v>192732.10966233065</v>
      </c>
      <c r="R24" s="145">
        <f t="shared" si="10"/>
        <v>212121.67628279678</v>
      </c>
      <c r="S24" s="145">
        <f t="shared" si="10"/>
        <v>247258.10317266203</v>
      </c>
      <c r="T24" s="145">
        <f t="shared" si="10"/>
        <v>268111.81100265717</v>
      </c>
      <c r="U24" s="145">
        <f t="shared" si="10"/>
        <v>302670.60989026946</v>
      </c>
      <c r="V24" s="145">
        <f t="shared" si="10"/>
        <v>350124.97024455445</v>
      </c>
      <c r="W24" s="145">
        <f t="shared" si="10"/>
        <v>390321.28657895926</v>
      </c>
      <c r="X24" s="145">
        <f t="shared" si="10"/>
        <v>430979.2899943855</v>
      </c>
      <c r="Y24" s="145">
        <f t="shared" si="10"/>
        <v>494592.3890168264</v>
      </c>
      <c r="Z24" s="423">
        <f t="shared" si="10"/>
        <v>462286.04243182403</v>
      </c>
      <c r="AA24" s="10" t="e">
        <f t="shared" si="10"/>
        <v>#DIV/0!</v>
      </c>
      <c r="AB24" s="10" t="e">
        <f t="shared" si="10"/>
        <v>#DIV/0!</v>
      </c>
      <c r="AC24" s="10" t="e">
        <f t="shared" si="10"/>
        <v>#DIV/0!</v>
      </c>
      <c r="AD24" s="10" t="e">
        <f t="shared" si="10"/>
        <v>#DIV/0!</v>
      </c>
      <c r="AE24" s="10" t="e">
        <f t="shared" si="10"/>
        <v>#DIV/0!</v>
      </c>
      <c r="AF24" s="10" t="e">
        <f t="shared" si="10"/>
        <v>#DIV/0!</v>
      </c>
      <c r="AG24" s="10" t="e">
        <f t="shared" si="10"/>
        <v>#DIV/0!</v>
      </c>
      <c r="AH24" s="10" t="e">
        <f t="shared" si="10"/>
        <v>#DIV/0!</v>
      </c>
      <c r="AI24" s="10" t="e">
        <f t="shared" si="10"/>
        <v>#DIV/0!</v>
      </c>
      <c r="AJ24" s="10" t="e">
        <f t="shared" si="10"/>
        <v>#DIV/0!</v>
      </c>
      <c r="AK24" s="265" t="e">
        <f t="shared" si="10"/>
        <v>#DIV/0!</v>
      </c>
      <c r="AM24" s="89"/>
      <c r="AN24" s="89"/>
      <c r="AO24" s="89"/>
      <c r="AP24" s="89"/>
      <c r="AQ24" s="89"/>
      <c r="AR24" s="89"/>
      <c r="AS24" s="89"/>
      <c r="AT24" s="89"/>
      <c r="AU24" s="89"/>
      <c r="AV24" s="89"/>
      <c r="AW24" s="89"/>
      <c r="AX24" s="89"/>
      <c r="AY24" s="89"/>
    </row>
    <row r="25" spans="1:51" s="93" customFormat="1">
      <c r="A25" s="370" t="s">
        <v>21</v>
      </c>
      <c r="B25" s="147">
        <f t="shared" ref="B25:AK25" si="11">B9-B20</f>
        <v>24095.505166640589</v>
      </c>
      <c r="C25" s="147">
        <f t="shared" si="11"/>
        <v>37677.932971044604</v>
      </c>
      <c r="D25" s="147">
        <f t="shared" si="11"/>
        <v>44333.803880484455</v>
      </c>
      <c r="E25" s="147">
        <f t="shared" si="11"/>
        <v>55318.737820039692</v>
      </c>
      <c r="F25" s="147">
        <f t="shared" si="11"/>
        <v>62881.412660650822</v>
      </c>
      <c r="G25" s="147">
        <f t="shared" si="11"/>
        <v>69795.823322903336</v>
      </c>
      <c r="H25" s="147">
        <f t="shared" si="11"/>
        <v>87858.672672500194</v>
      </c>
      <c r="I25" s="147">
        <f t="shared" si="11"/>
        <v>92989.392588279705</v>
      </c>
      <c r="J25" s="147">
        <f t="shared" si="11"/>
        <v>103524.26450081111</v>
      </c>
      <c r="K25" s="147">
        <f t="shared" si="11"/>
        <v>111435.70018061902</v>
      </c>
      <c r="L25" s="147">
        <f t="shared" si="11"/>
        <v>123770.6686272035</v>
      </c>
      <c r="M25" s="147">
        <f t="shared" si="11"/>
        <v>138268.26547821407</v>
      </c>
      <c r="N25" s="147">
        <f t="shared" si="11"/>
        <v>141977.53078932373</v>
      </c>
      <c r="O25" s="147">
        <f t="shared" si="11"/>
        <v>150975.57507511726</v>
      </c>
      <c r="P25" s="147">
        <f t="shared" si="11"/>
        <v>165262.17028941136</v>
      </c>
      <c r="Q25" s="147">
        <f t="shared" si="11"/>
        <v>182481.04687964814</v>
      </c>
      <c r="R25" s="147">
        <f t="shared" si="11"/>
        <v>204193.5793216587</v>
      </c>
      <c r="S25" s="147">
        <f t="shared" si="11"/>
        <v>241675.93927674135</v>
      </c>
      <c r="T25" s="147">
        <f t="shared" si="11"/>
        <v>264307.69803813868</v>
      </c>
      <c r="U25" s="147">
        <f t="shared" si="11"/>
        <v>301833.94579163683</v>
      </c>
      <c r="V25" s="147">
        <f t="shared" si="11"/>
        <v>332053.44994799339</v>
      </c>
      <c r="W25" s="147">
        <f t="shared" si="11"/>
        <v>374579.97960772691</v>
      </c>
      <c r="X25" s="147">
        <f t="shared" si="11"/>
        <v>418525.81382202631</v>
      </c>
      <c r="Y25" s="147">
        <f t="shared" si="11"/>
        <v>490330.52972568525</v>
      </c>
      <c r="Z25" s="424">
        <f t="shared" si="11"/>
        <v>462286.04243182403</v>
      </c>
      <c r="AA25" s="9" t="e">
        <f t="shared" si="11"/>
        <v>#DIV/0!</v>
      </c>
      <c r="AB25" s="9" t="e">
        <f t="shared" si="11"/>
        <v>#DIV/0!</v>
      </c>
      <c r="AC25" s="9" t="e">
        <f t="shared" si="11"/>
        <v>#DIV/0!</v>
      </c>
      <c r="AD25" s="9" t="e">
        <f t="shared" si="11"/>
        <v>#DIV/0!</v>
      </c>
      <c r="AE25" s="9" t="e">
        <f t="shared" si="11"/>
        <v>#DIV/0!</v>
      </c>
      <c r="AF25" s="9" t="e">
        <f t="shared" si="11"/>
        <v>#DIV/0!</v>
      </c>
      <c r="AG25" s="9" t="e">
        <f t="shared" si="11"/>
        <v>#DIV/0!</v>
      </c>
      <c r="AH25" s="9" t="e">
        <f t="shared" si="11"/>
        <v>#DIV/0!</v>
      </c>
      <c r="AI25" s="9" t="e">
        <f t="shared" si="11"/>
        <v>#DIV/0!</v>
      </c>
      <c r="AJ25" s="9" t="e">
        <f t="shared" si="11"/>
        <v>#DIV/0!</v>
      </c>
      <c r="AK25" s="364" t="e">
        <f t="shared" si="11"/>
        <v>#DIV/0!</v>
      </c>
      <c r="AM25" s="89"/>
      <c r="AN25" s="89"/>
      <c r="AO25" s="89"/>
      <c r="AP25" s="89"/>
      <c r="AQ25" s="89"/>
      <c r="AR25" s="89"/>
      <c r="AS25" s="89"/>
      <c r="AT25" s="89"/>
      <c r="AU25" s="89"/>
      <c r="AV25" s="89"/>
      <c r="AW25" s="89"/>
      <c r="AX25" s="89"/>
      <c r="AY25" s="89"/>
    </row>
    <row r="26" spans="1:51">
      <c r="A26" s="371" t="s">
        <v>22</v>
      </c>
      <c r="B26" s="365">
        <f t="shared" ref="B26:AK26" si="12">B10-B21</f>
        <v>21233.108762926127</v>
      </c>
      <c r="C26" s="365">
        <f t="shared" si="12"/>
        <v>30493.876672615788</v>
      </c>
      <c r="D26" s="365">
        <f t="shared" si="12"/>
        <v>37653.728578304392</v>
      </c>
      <c r="E26" s="365">
        <f t="shared" si="12"/>
        <v>50530.779775716212</v>
      </c>
      <c r="F26" s="365">
        <f t="shared" si="12"/>
        <v>55073.028174998537</v>
      </c>
      <c r="G26" s="365">
        <f t="shared" si="12"/>
        <v>50694.097746219028</v>
      </c>
      <c r="H26" s="365">
        <f t="shared" si="12"/>
        <v>44480.211771196708</v>
      </c>
      <c r="I26" s="365">
        <f t="shared" si="12"/>
        <v>48202.061115707831</v>
      </c>
      <c r="J26" s="365">
        <f t="shared" si="12"/>
        <v>46715.99214702622</v>
      </c>
      <c r="K26" s="365">
        <f t="shared" si="12"/>
        <v>53289.065338046814</v>
      </c>
      <c r="L26" s="365">
        <f t="shared" si="12"/>
        <v>54756.707920750341</v>
      </c>
      <c r="M26" s="365">
        <f t="shared" si="12"/>
        <v>56712.237739587807</v>
      </c>
      <c r="N26" s="365">
        <f t="shared" si="12"/>
        <v>61017.400735969306</v>
      </c>
      <c r="O26" s="365">
        <f t="shared" si="12"/>
        <v>58449.524265072439</v>
      </c>
      <c r="P26" s="365">
        <f t="shared" si="12"/>
        <v>66544.997827381012</v>
      </c>
      <c r="Q26" s="365">
        <f t="shared" si="12"/>
        <v>87321.074960957572</v>
      </c>
      <c r="R26" s="365">
        <f t="shared" si="12"/>
        <v>124017.23758770435</v>
      </c>
      <c r="S26" s="365">
        <f t="shared" si="12"/>
        <v>125610.71597877727</v>
      </c>
      <c r="T26" s="365">
        <f t="shared" si="12"/>
        <v>134921.4013158633</v>
      </c>
      <c r="U26" s="365">
        <f t="shared" si="12"/>
        <v>155108.4145756019</v>
      </c>
      <c r="V26" s="365">
        <f t="shared" si="12"/>
        <v>162834.67181514873</v>
      </c>
      <c r="W26" s="365">
        <f t="shared" si="12"/>
        <v>215322.30066032958</v>
      </c>
      <c r="X26" s="365">
        <f t="shared" si="12"/>
        <v>285229.35989940836</v>
      </c>
      <c r="Y26" s="365">
        <f t="shared" si="12"/>
        <v>352843.67668555555</v>
      </c>
      <c r="Z26" s="426" t="e">
        <f t="shared" si="12"/>
        <v>#DIV/0!</v>
      </c>
      <c r="AA26" s="275" t="e">
        <f t="shared" si="12"/>
        <v>#DIV/0!</v>
      </c>
      <c r="AB26" s="275" t="e">
        <f t="shared" si="12"/>
        <v>#DIV/0!</v>
      </c>
      <c r="AC26" s="275" t="e">
        <f t="shared" si="12"/>
        <v>#DIV/0!</v>
      </c>
      <c r="AD26" s="275" t="e">
        <f t="shared" si="12"/>
        <v>#DIV/0!</v>
      </c>
      <c r="AE26" s="275" t="e">
        <f t="shared" si="12"/>
        <v>#DIV/0!</v>
      </c>
      <c r="AF26" s="275" t="e">
        <f t="shared" si="12"/>
        <v>#DIV/0!</v>
      </c>
      <c r="AG26" s="275" t="e">
        <f t="shared" si="12"/>
        <v>#DIV/0!</v>
      </c>
      <c r="AH26" s="275" t="e">
        <f t="shared" si="12"/>
        <v>#DIV/0!</v>
      </c>
      <c r="AI26" s="275" t="e">
        <f t="shared" si="12"/>
        <v>#DIV/0!</v>
      </c>
      <c r="AJ26" s="275" t="e">
        <f t="shared" si="12"/>
        <v>#DIV/0!</v>
      </c>
      <c r="AK26" s="276" t="e">
        <f t="shared" si="12"/>
        <v>#DIV/0!</v>
      </c>
      <c r="AM26" s="89"/>
      <c r="AN26" s="89"/>
      <c r="AO26" s="89"/>
      <c r="AP26" s="89"/>
      <c r="AQ26" s="89"/>
      <c r="AR26" s="89"/>
      <c r="AS26" s="89"/>
      <c r="AT26" s="89"/>
      <c r="AU26" s="89"/>
      <c r="AV26" s="89"/>
      <c r="AW26" s="89"/>
      <c r="AX26" s="89"/>
      <c r="AY26" s="89"/>
    </row>
    <row r="27" spans="1:51">
      <c r="A27" s="5" t="s">
        <v>297</v>
      </c>
      <c r="B27" s="10"/>
      <c r="C27" s="10"/>
      <c r="D27" s="10"/>
      <c r="E27" s="10"/>
      <c r="F27" s="10"/>
      <c r="G27" s="10"/>
      <c r="H27" s="10"/>
      <c r="I27" s="10"/>
      <c r="J27" s="10"/>
      <c r="K27" s="10"/>
      <c r="L27" s="10"/>
      <c r="M27" s="10"/>
      <c r="V27" s="84"/>
      <c r="W27" s="83"/>
      <c r="X27" s="83"/>
      <c r="Y27" s="84"/>
      <c r="Z27" s="84"/>
      <c r="AA27" s="84"/>
      <c r="AB27" s="84"/>
      <c r="AC27" s="84"/>
      <c r="AD27" s="84"/>
      <c r="AE27" s="84"/>
      <c r="AF27" s="84"/>
      <c r="AG27" s="84"/>
      <c r="AH27" s="84"/>
      <c r="AI27" s="84"/>
      <c r="AJ27" s="84"/>
      <c r="AM27" s="89"/>
      <c r="AN27" s="89"/>
      <c r="AO27" s="89"/>
      <c r="AP27" s="89"/>
      <c r="AQ27" s="89"/>
      <c r="AR27" s="89"/>
      <c r="AS27" s="89"/>
      <c r="AT27" s="89"/>
      <c r="AU27" s="89"/>
      <c r="AV27" s="89"/>
      <c r="AW27" s="89"/>
      <c r="AX27" s="89"/>
      <c r="AY27" s="89"/>
    </row>
    <row r="28" spans="1:51">
      <c r="B28" s="10"/>
      <c r="C28" s="10"/>
      <c r="D28" s="10"/>
      <c r="E28" s="10"/>
      <c r="F28" s="10"/>
      <c r="G28" s="10"/>
      <c r="H28" s="10"/>
      <c r="I28" s="10"/>
      <c r="J28" s="10"/>
      <c r="K28" s="10"/>
      <c r="L28" s="10"/>
      <c r="M28" s="10"/>
      <c r="N28" s="10"/>
      <c r="S28" s="87"/>
      <c r="U28" s="98"/>
      <c r="V28" s="98"/>
      <c r="W28" s="98"/>
      <c r="X28" s="98"/>
      <c r="Y28" s="99"/>
      <c r="Z28" s="99"/>
      <c r="AA28" s="99"/>
      <c r="AB28" s="99"/>
      <c r="AC28" s="99"/>
      <c r="AD28" s="99"/>
      <c r="AE28" s="99"/>
      <c r="AF28" s="99"/>
      <c r="AG28" s="99"/>
      <c r="AH28" s="99"/>
      <c r="AI28" s="99"/>
      <c r="AJ28" s="99"/>
      <c r="AK28" s="99"/>
      <c r="AM28" s="89"/>
      <c r="AN28" s="89"/>
      <c r="AO28" s="89"/>
      <c r="AP28" s="89"/>
      <c r="AQ28" s="89"/>
      <c r="AR28" s="89"/>
      <c r="AS28" s="89"/>
      <c r="AT28" s="89"/>
      <c r="AU28" s="89"/>
      <c r="AV28" s="89"/>
      <c r="AW28" s="89"/>
      <c r="AX28" s="89"/>
      <c r="AY28" s="89"/>
    </row>
    <row r="29" spans="1:51">
      <c r="B29" s="10"/>
      <c r="C29" s="10"/>
      <c r="D29" s="10"/>
      <c r="E29" s="10"/>
      <c r="F29" s="10"/>
      <c r="G29" s="10"/>
      <c r="H29" s="10"/>
      <c r="I29" s="10"/>
      <c r="J29" s="10"/>
      <c r="K29" s="10"/>
      <c r="L29" s="10"/>
      <c r="M29" s="10"/>
      <c r="N29" s="10"/>
      <c r="S29" s="87"/>
      <c r="U29" s="98"/>
      <c r="V29" s="98"/>
      <c r="W29" s="98"/>
      <c r="X29" s="98"/>
      <c r="Y29" s="99"/>
      <c r="Z29" s="99"/>
      <c r="AA29" s="99"/>
      <c r="AB29" s="99"/>
      <c r="AC29" s="99"/>
      <c r="AD29" s="99"/>
      <c r="AE29" s="99"/>
      <c r="AF29" s="99"/>
      <c r="AG29" s="99"/>
      <c r="AH29" s="99"/>
      <c r="AI29" s="99"/>
      <c r="AJ29" s="99"/>
      <c r="AK29" s="99"/>
      <c r="AM29" s="89"/>
      <c r="AN29" s="89"/>
      <c r="AO29" s="89"/>
      <c r="AP29" s="89"/>
      <c r="AQ29" s="89"/>
      <c r="AR29" s="89"/>
      <c r="AS29" s="89"/>
      <c r="AT29" s="89"/>
      <c r="AU29" s="89"/>
      <c r="AV29" s="89"/>
      <c r="AW29" s="89"/>
      <c r="AX29" s="89"/>
      <c r="AY29" s="89"/>
    </row>
    <row r="30" spans="1:51">
      <c r="A30" s="372" t="s">
        <v>28</v>
      </c>
      <c r="B30" s="373">
        <v>36525</v>
      </c>
      <c r="C30" s="373">
        <v>36891</v>
      </c>
      <c r="D30" s="373">
        <v>37256</v>
      </c>
      <c r="E30" s="373">
        <v>37621</v>
      </c>
      <c r="F30" s="373">
        <v>37986</v>
      </c>
      <c r="G30" s="373">
        <v>38352</v>
      </c>
      <c r="H30" s="373">
        <v>38717</v>
      </c>
      <c r="I30" s="373">
        <v>39082</v>
      </c>
      <c r="J30" s="373">
        <v>39447</v>
      </c>
      <c r="K30" s="373">
        <v>39813</v>
      </c>
      <c r="L30" s="373">
        <v>40178</v>
      </c>
      <c r="M30" s="373">
        <v>40543</v>
      </c>
      <c r="N30" s="373">
        <v>40908</v>
      </c>
      <c r="O30" s="373">
        <v>41274</v>
      </c>
      <c r="P30" s="373">
        <v>41639</v>
      </c>
      <c r="Q30" s="373">
        <v>42004</v>
      </c>
      <c r="R30" s="373">
        <v>42369</v>
      </c>
      <c r="S30" s="373">
        <v>42735</v>
      </c>
      <c r="T30" s="373">
        <v>43100</v>
      </c>
      <c r="U30" s="373">
        <v>43465</v>
      </c>
      <c r="V30" s="373">
        <v>43830</v>
      </c>
      <c r="W30" s="373">
        <v>44196</v>
      </c>
      <c r="X30" s="373">
        <v>44561</v>
      </c>
      <c r="Y30" s="382">
        <v>44926</v>
      </c>
      <c r="Z30" s="373">
        <v>45291</v>
      </c>
      <c r="AA30" s="373">
        <v>45657</v>
      </c>
      <c r="AB30" s="373">
        <v>46022</v>
      </c>
      <c r="AC30" s="373">
        <v>46387</v>
      </c>
      <c r="AD30" s="373">
        <v>46752</v>
      </c>
      <c r="AE30" s="373">
        <v>47118</v>
      </c>
      <c r="AF30" s="373">
        <v>47483</v>
      </c>
      <c r="AG30" s="373">
        <v>47848</v>
      </c>
      <c r="AH30" s="373">
        <v>48213</v>
      </c>
      <c r="AI30" s="373">
        <v>48579</v>
      </c>
      <c r="AJ30" s="373">
        <v>48944</v>
      </c>
      <c r="AK30" s="374">
        <v>49309</v>
      </c>
      <c r="AM30" s="89"/>
      <c r="AN30" s="89"/>
      <c r="AO30" s="89"/>
      <c r="AP30" s="89"/>
      <c r="AQ30" s="89"/>
      <c r="AR30" s="89"/>
      <c r="AS30" s="89"/>
      <c r="AT30" s="89"/>
      <c r="AU30" s="89"/>
      <c r="AV30" s="89"/>
      <c r="AW30" s="89"/>
      <c r="AX30" s="89"/>
      <c r="AY30" s="89"/>
    </row>
    <row r="31" spans="1:51">
      <c r="A31" s="357" t="s">
        <v>29</v>
      </c>
      <c r="B31" s="95">
        <v>1559.2081505675342</v>
      </c>
      <c r="C31" s="95">
        <v>2256.4076826820778</v>
      </c>
      <c r="D31" s="95">
        <v>3114.4122857460297</v>
      </c>
      <c r="E31" s="95">
        <v>3621.5118038225596</v>
      </c>
      <c r="F31" s="95">
        <v>4349.2168602734355</v>
      </c>
      <c r="G31" s="95">
        <v>4319.9651645068861</v>
      </c>
      <c r="H31" s="95">
        <v>4267.7382494983494</v>
      </c>
      <c r="I31" s="95">
        <v>3875.3260658305098</v>
      </c>
      <c r="J31" s="95">
        <v>3858.56287400778</v>
      </c>
      <c r="K31" s="95">
        <v>3662.0019920317836</v>
      </c>
      <c r="L31" s="95">
        <v>3845.8949669410472</v>
      </c>
      <c r="M31" s="95">
        <v>3651.5373952825557</v>
      </c>
      <c r="N31" s="95">
        <v>3567.8899575928344</v>
      </c>
      <c r="O31" s="95">
        <v>3537.888609949191</v>
      </c>
      <c r="P31" s="95">
        <v>3539.0908937731692</v>
      </c>
      <c r="Q31" s="95">
        <v>3745.5111035248351</v>
      </c>
      <c r="R31" s="95">
        <v>5376.7744933387394</v>
      </c>
      <c r="S31" s="95">
        <v>5961.5056369217318</v>
      </c>
      <c r="T31" s="95">
        <v>6309.2277371112641</v>
      </c>
      <c r="U31" s="145">
        <v>6631.7487859690928</v>
      </c>
      <c r="V31" s="145">
        <v>7606.8045147471739</v>
      </c>
      <c r="W31" s="145">
        <v>8375.9266015161975</v>
      </c>
      <c r="X31" s="145">
        <v>9368.5317207481294</v>
      </c>
      <c r="Y31" s="146">
        <v>11041.879070675972</v>
      </c>
      <c r="Z31" s="10">
        <f>'Calculo deuda'!F44</f>
        <v>0</v>
      </c>
      <c r="AA31" s="10" t="e">
        <f>'Calculo deuda'!G44</f>
        <v>#DIV/0!</v>
      </c>
      <c r="AB31" s="10" t="e">
        <f>'Calculo deuda'!H44</f>
        <v>#DIV/0!</v>
      </c>
      <c r="AC31" s="10" t="e">
        <f>'Calculo deuda'!I44</f>
        <v>#DIV/0!</v>
      </c>
      <c r="AD31" s="10" t="e">
        <f>'Calculo deuda'!J44</f>
        <v>#DIV/0!</v>
      </c>
      <c r="AE31" s="10" t="e">
        <f>'Calculo deuda'!K44</f>
        <v>#DIV/0!</v>
      </c>
      <c r="AF31" s="10" t="e">
        <f>'Calculo deuda'!L44</f>
        <v>#DIV/0!</v>
      </c>
      <c r="AG31" s="10" t="e">
        <f>'Calculo deuda'!M44</f>
        <v>#DIV/0!</v>
      </c>
      <c r="AH31" s="10" t="e">
        <f>'Calculo deuda'!N44</f>
        <v>#DIV/0!</v>
      </c>
      <c r="AI31" s="10" t="e">
        <f>'Calculo deuda'!O44</f>
        <v>#DIV/0!</v>
      </c>
      <c r="AJ31" s="10" t="e">
        <f>'Calculo deuda'!P44</f>
        <v>#DIV/0!</v>
      </c>
      <c r="AK31" s="265" t="e">
        <f>'Calculo deuda'!Q44</f>
        <v>#DIV/0!</v>
      </c>
      <c r="AM31" s="89"/>
      <c r="AN31" s="89"/>
      <c r="AO31" s="89"/>
      <c r="AP31" s="89"/>
      <c r="AQ31" s="89"/>
      <c r="AR31" s="89"/>
      <c r="AS31" s="89"/>
      <c r="AT31" s="89"/>
      <c r="AU31" s="89"/>
      <c r="AV31" s="89"/>
      <c r="AW31" s="89"/>
      <c r="AX31" s="89"/>
      <c r="AY31" s="89"/>
    </row>
    <row r="32" spans="1:51">
      <c r="A32" s="357" t="s">
        <v>31</v>
      </c>
      <c r="B32" s="95">
        <v>3466.2957384172132</v>
      </c>
      <c r="C32" s="95">
        <v>4373.8208338987406</v>
      </c>
      <c r="D32" s="95">
        <v>4382.5811641562495</v>
      </c>
      <c r="E32" s="95">
        <v>4280.8883224639258</v>
      </c>
      <c r="F32" s="95">
        <v>5306.2919901924915</v>
      </c>
      <c r="G32" s="95">
        <v>5943.9800050574804</v>
      </c>
      <c r="H32" s="95">
        <v>5613.1543036369703</v>
      </c>
      <c r="I32" s="95">
        <v>9451.9787730783301</v>
      </c>
      <c r="J32" s="95">
        <v>11157.865971470199</v>
      </c>
      <c r="K32" s="95">
        <v>10261.161959619021</v>
      </c>
      <c r="L32" s="95">
        <v>10736.712996562717</v>
      </c>
      <c r="M32" s="95">
        <v>10561.239709184858</v>
      </c>
      <c r="N32" s="95">
        <v>12069.08508258043</v>
      </c>
      <c r="O32" s="95">
        <v>12538.305611606453</v>
      </c>
      <c r="P32" s="95">
        <v>12265.140167066775</v>
      </c>
      <c r="Q32" s="95">
        <v>11848.25349668317</v>
      </c>
      <c r="R32" s="95">
        <v>12244.397705794458</v>
      </c>
      <c r="S32" s="95">
        <v>15566.244391430908</v>
      </c>
      <c r="T32" s="95">
        <v>17350.794858165966</v>
      </c>
      <c r="U32" s="145">
        <v>18115.770553911694</v>
      </c>
      <c r="V32" s="145">
        <v>19288.076173603615</v>
      </c>
      <c r="W32" s="145">
        <v>18222.026327894961</v>
      </c>
      <c r="X32" s="145">
        <v>24655.994058400927</v>
      </c>
      <c r="Y32" s="146">
        <v>35377.047113802502</v>
      </c>
      <c r="Z32" s="10">
        <f>'Calculo deuda'!F36</f>
        <v>0</v>
      </c>
      <c r="AA32" s="10" t="e">
        <f>'Calculo deuda'!G36</f>
        <v>#DIV/0!</v>
      </c>
      <c r="AB32" s="10" t="e">
        <f>'Calculo deuda'!H36</f>
        <v>#DIV/0!</v>
      </c>
      <c r="AC32" s="10" t="e">
        <f>'Calculo deuda'!I36</f>
        <v>#DIV/0!</v>
      </c>
      <c r="AD32" s="10" t="e">
        <f>'Calculo deuda'!J36</f>
        <v>#DIV/0!</v>
      </c>
      <c r="AE32" s="10" t="e">
        <f>'Calculo deuda'!K36</f>
        <v>#DIV/0!</v>
      </c>
      <c r="AF32" s="10" t="e">
        <f>'Calculo deuda'!L36</f>
        <v>#DIV/0!</v>
      </c>
      <c r="AG32" s="10" t="e">
        <f>'Calculo deuda'!M36</f>
        <v>#DIV/0!</v>
      </c>
      <c r="AH32" s="10" t="e">
        <f>'Calculo deuda'!N36</f>
        <v>#DIV/0!</v>
      </c>
      <c r="AI32" s="10" t="e">
        <f>'Calculo deuda'!O36</f>
        <v>#DIV/0!</v>
      </c>
      <c r="AJ32" s="10" t="e">
        <f>'Calculo deuda'!P36</f>
        <v>#DIV/0!</v>
      </c>
      <c r="AK32" s="265" t="e">
        <f>'Calculo deuda'!Q36</f>
        <v>#DIV/0!</v>
      </c>
      <c r="AM32" s="89"/>
      <c r="AN32" s="89"/>
      <c r="AO32" s="89"/>
      <c r="AP32" s="89"/>
      <c r="AQ32" s="89"/>
      <c r="AR32" s="89"/>
      <c r="AS32" s="89"/>
      <c r="AT32" s="89"/>
      <c r="AU32" s="89"/>
      <c r="AV32" s="89"/>
      <c r="AW32" s="89"/>
      <c r="AX32" s="89"/>
      <c r="AY32" s="89"/>
    </row>
    <row r="33" spans="1:51" s="93" customFormat="1">
      <c r="A33" s="383" t="s">
        <v>167</v>
      </c>
      <c r="B33" s="159"/>
      <c r="C33" s="159"/>
      <c r="D33" s="159"/>
      <c r="E33" s="159"/>
      <c r="F33" s="159"/>
      <c r="G33" s="159"/>
      <c r="H33" s="159"/>
      <c r="I33" s="159"/>
      <c r="J33" s="159"/>
      <c r="K33" s="159"/>
      <c r="L33" s="159"/>
      <c r="M33" s="159"/>
      <c r="N33" s="159"/>
      <c r="O33" s="159"/>
      <c r="P33" s="159"/>
      <c r="Q33" s="159"/>
      <c r="R33" s="159"/>
      <c r="S33" s="159"/>
      <c r="T33" s="159"/>
      <c r="U33" s="147">
        <v>1063.0471314444001</v>
      </c>
      <c r="V33" s="147">
        <v>1659.4126805749797</v>
      </c>
      <c r="W33" s="147">
        <v>2846.4788066699298</v>
      </c>
      <c r="X33" s="147">
        <v>-1081.03026627034</v>
      </c>
      <c r="Y33" s="148">
        <v>-8436</v>
      </c>
      <c r="Z33" s="9">
        <f>'Calculo deuda'!F33</f>
        <v>0</v>
      </c>
      <c r="AA33" s="9" t="e">
        <f>'Calculo deuda'!G33</f>
        <v>#DIV/0!</v>
      </c>
      <c r="AB33" s="9" t="e">
        <f>'Calculo deuda'!H33</f>
        <v>#DIV/0!</v>
      </c>
      <c r="AC33" s="9" t="e">
        <f>'Calculo deuda'!I33</f>
        <v>#DIV/0!</v>
      </c>
      <c r="AD33" s="9" t="e">
        <f>'Calculo deuda'!J33</f>
        <v>#DIV/0!</v>
      </c>
      <c r="AE33" s="9" t="e">
        <f>'Calculo deuda'!K33</f>
        <v>#DIV/0!</v>
      </c>
      <c r="AF33" s="9" t="e">
        <f>'Calculo deuda'!L33</f>
        <v>#DIV/0!</v>
      </c>
      <c r="AG33" s="9" t="e">
        <f>'Calculo deuda'!M33</f>
        <v>#DIV/0!</v>
      </c>
      <c r="AH33" s="9" t="e">
        <f>'Calculo deuda'!N33</f>
        <v>#DIV/0!</v>
      </c>
      <c r="AI33" s="9" t="e">
        <f>'Calculo deuda'!O33</f>
        <v>#DIV/0!</v>
      </c>
      <c r="AJ33" s="9" t="e">
        <f>'Calculo deuda'!P33</f>
        <v>#DIV/0!</v>
      </c>
      <c r="AK33" s="364" t="e">
        <f>'Calculo deuda'!Q33</f>
        <v>#DIV/0!</v>
      </c>
      <c r="AM33" s="89"/>
      <c r="AN33" s="89"/>
      <c r="AO33" s="89"/>
      <c r="AP33" s="89"/>
      <c r="AQ33" s="89"/>
      <c r="AR33" s="89"/>
      <c r="AS33" s="89"/>
      <c r="AT33" s="89"/>
      <c r="AU33" s="89"/>
      <c r="AV33" s="89"/>
      <c r="AW33" s="89"/>
      <c r="AX33" s="89"/>
      <c r="AY33" s="89"/>
    </row>
    <row r="34" spans="1:51">
      <c r="A34" s="357" t="s">
        <v>32</v>
      </c>
      <c r="B34" s="95">
        <v>0</v>
      </c>
      <c r="C34" s="95">
        <v>63.615581304400116</v>
      </c>
      <c r="D34" s="95">
        <v>266.07815347210112</v>
      </c>
      <c r="E34" s="95">
        <v>420.70800346750008</v>
      </c>
      <c r="F34" s="95">
        <v>562.07805991399937</v>
      </c>
      <c r="G34" s="95">
        <v>615.22269677729901</v>
      </c>
      <c r="H34" s="95">
        <v>635.35627449250251</v>
      </c>
      <c r="I34" s="95">
        <v>637.14011440929721</v>
      </c>
      <c r="J34" s="95">
        <v>891.85778890261122</v>
      </c>
      <c r="K34" s="95">
        <v>1442.4131029133694</v>
      </c>
      <c r="L34" s="95">
        <v>566.52683394636642</v>
      </c>
      <c r="M34" s="95">
        <v>634.33649970798558</v>
      </c>
      <c r="N34" s="95">
        <v>1161.3214610365826</v>
      </c>
      <c r="O34" s="95">
        <v>976.12407370295648</v>
      </c>
      <c r="P34" s="95">
        <v>559.2596713723799</v>
      </c>
      <c r="Q34" s="95">
        <v>1385.6693317163836</v>
      </c>
      <c r="R34" s="95">
        <v>3024.642226095089</v>
      </c>
      <c r="S34" s="95">
        <v>3853.9612683560481</v>
      </c>
      <c r="T34" s="95">
        <v>2956.9236248220373</v>
      </c>
      <c r="U34" s="145">
        <v>2726.4842808857811</v>
      </c>
      <c r="V34" s="145">
        <v>3905.5089326093539</v>
      </c>
      <c r="W34" s="145">
        <v>1738.5958604811824</v>
      </c>
      <c r="X34" s="145">
        <v>5653.4448770496128</v>
      </c>
      <c r="Y34" s="146">
        <v>16745.800033191699</v>
      </c>
      <c r="Z34" s="44">
        <f>'Calculo deuda'!F39</f>
        <v>0</v>
      </c>
      <c r="AA34" s="10">
        <f>'Calculo deuda'!G39</f>
        <v>0</v>
      </c>
      <c r="AB34" s="10" t="e">
        <f>'Calculo deuda'!H39</f>
        <v>#DIV/0!</v>
      </c>
      <c r="AC34" s="10" t="e">
        <f>'Calculo deuda'!I39</f>
        <v>#DIV/0!</v>
      </c>
      <c r="AD34" s="10" t="e">
        <f>'Calculo deuda'!J39</f>
        <v>#DIV/0!</v>
      </c>
      <c r="AE34" s="10" t="e">
        <f>'Calculo deuda'!K39</f>
        <v>#DIV/0!</v>
      </c>
      <c r="AF34" s="10" t="e">
        <f>'Calculo deuda'!L39</f>
        <v>#DIV/0!</v>
      </c>
      <c r="AG34" s="10" t="e">
        <f>'Calculo deuda'!M39</f>
        <v>#DIV/0!</v>
      </c>
      <c r="AH34" s="10" t="e">
        <f>'Calculo deuda'!N39</f>
        <v>#DIV/0!</v>
      </c>
      <c r="AI34" s="10" t="e">
        <f>'Calculo deuda'!O39</f>
        <v>#DIV/0!</v>
      </c>
      <c r="AJ34" s="10" t="e">
        <f>'Calculo deuda'!P39</f>
        <v>#DIV/0!</v>
      </c>
      <c r="AK34" s="265" t="e">
        <f>'Calculo deuda'!Q39</f>
        <v>#DIV/0!</v>
      </c>
      <c r="AM34" s="89"/>
      <c r="AN34" s="89"/>
      <c r="AO34" s="89"/>
      <c r="AP34" s="89"/>
      <c r="AQ34" s="89"/>
      <c r="AR34" s="89"/>
      <c r="AS34" s="89"/>
      <c r="AT34" s="89"/>
      <c r="AU34" s="89"/>
      <c r="AV34" s="89"/>
      <c r="AW34" s="89"/>
      <c r="AX34" s="89"/>
      <c r="AY34" s="89"/>
    </row>
    <row r="35" spans="1:51" s="11" customFormat="1">
      <c r="A35" s="384" t="s">
        <v>44</v>
      </c>
      <c r="B35" s="375">
        <f t="shared" ref="B35:AK35" si="13">B32+B34</f>
        <v>3466.2957384172132</v>
      </c>
      <c r="C35" s="375">
        <f t="shared" si="13"/>
        <v>4437.4364152031403</v>
      </c>
      <c r="D35" s="375">
        <f t="shared" si="13"/>
        <v>4648.6593176283504</v>
      </c>
      <c r="E35" s="375">
        <f t="shared" si="13"/>
        <v>4701.5963259314258</v>
      </c>
      <c r="F35" s="375">
        <f t="shared" si="13"/>
        <v>5868.3700501064905</v>
      </c>
      <c r="G35" s="375">
        <f t="shared" si="13"/>
        <v>6559.2027018347799</v>
      </c>
      <c r="H35" s="375">
        <f t="shared" si="13"/>
        <v>6248.5105781294733</v>
      </c>
      <c r="I35" s="375">
        <f t="shared" si="13"/>
        <v>10089.118887487628</v>
      </c>
      <c r="J35" s="375">
        <f t="shared" si="13"/>
        <v>12049.72376037281</v>
      </c>
      <c r="K35" s="375">
        <f t="shared" si="13"/>
        <v>11703.575062532391</v>
      </c>
      <c r="L35" s="375">
        <f t="shared" si="13"/>
        <v>11303.239830509083</v>
      </c>
      <c r="M35" s="375">
        <f t="shared" si="13"/>
        <v>11195.576208892844</v>
      </c>
      <c r="N35" s="375">
        <f t="shared" si="13"/>
        <v>13230.406543617013</v>
      </c>
      <c r="O35" s="375">
        <f t="shared" si="13"/>
        <v>13514.429685309409</v>
      </c>
      <c r="P35" s="375">
        <f t="shared" si="13"/>
        <v>12824.399838439154</v>
      </c>
      <c r="Q35" s="375">
        <f t="shared" si="13"/>
        <v>13233.922828399554</v>
      </c>
      <c r="R35" s="375">
        <f t="shared" si="13"/>
        <v>15269.039931889547</v>
      </c>
      <c r="S35" s="375">
        <f t="shared" si="13"/>
        <v>19420.205659786956</v>
      </c>
      <c r="T35" s="375">
        <f t="shared" si="13"/>
        <v>20307.718482988003</v>
      </c>
      <c r="U35" s="376">
        <f t="shared" si="13"/>
        <v>20842.254834797473</v>
      </c>
      <c r="V35" s="376">
        <f t="shared" si="13"/>
        <v>23193.58510621297</v>
      </c>
      <c r="W35" s="376">
        <f t="shared" si="13"/>
        <v>19960.622188376143</v>
      </c>
      <c r="X35" s="376">
        <f t="shared" si="13"/>
        <v>30309.43893545054</v>
      </c>
      <c r="Y35" s="160">
        <f t="shared" si="13"/>
        <v>52122.847146994201</v>
      </c>
      <c r="Z35" s="89">
        <f t="shared" si="13"/>
        <v>0</v>
      </c>
      <c r="AA35" s="89" t="e">
        <f t="shared" si="13"/>
        <v>#DIV/0!</v>
      </c>
      <c r="AB35" s="89" t="e">
        <f t="shared" si="13"/>
        <v>#DIV/0!</v>
      </c>
      <c r="AC35" s="89" t="e">
        <f t="shared" si="13"/>
        <v>#DIV/0!</v>
      </c>
      <c r="AD35" s="89" t="e">
        <f t="shared" si="13"/>
        <v>#DIV/0!</v>
      </c>
      <c r="AE35" s="89" t="e">
        <f t="shared" si="13"/>
        <v>#DIV/0!</v>
      </c>
      <c r="AF35" s="89" t="e">
        <f t="shared" si="13"/>
        <v>#DIV/0!</v>
      </c>
      <c r="AG35" s="89" t="e">
        <f t="shared" si="13"/>
        <v>#DIV/0!</v>
      </c>
      <c r="AH35" s="89" t="e">
        <f t="shared" si="13"/>
        <v>#DIV/0!</v>
      </c>
      <c r="AI35" s="89" t="e">
        <f t="shared" si="13"/>
        <v>#DIV/0!</v>
      </c>
      <c r="AJ35" s="89" t="e">
        <f t="shared" si="13"/>
        <v>#DIV/0!</v>
      </c>
      <c r="AK35" s="377" t="e">
        <f t="shared" si="13"/>
        <v>#DIV/0!</v>
      </c>
      <c r="AL35" s="5"/>
      <c r="AM35" s="89"/>
      <c r="AN35" s="89"/>
      <c r="AO35" s="89"/>
      <c r="AP35" s="89"/>
      <c r="AQ35" s="89"/>
      <c r="AR35" s="89"/>
      <c r="AS35" s="89"/>
      <c r="AT35" s="89"/>
      <c r="AU35" s="89"/>
      <c r="AV35" s="89"/>
      <c r="AW35" s="89"/>
      <c r="AX35" s="89"/>
      <c r="AY35" s="89"/>
    </row>
    <row r="36" spans="1:51" s="11" customFormat="1">
      <c r="A36" s="385" t="s">
        <v>45</v>
      </c>
      <c r="B36" s="378">
        <f t="shared" ref="B36:AK36" si="14">+B31+B35</f>
        <v>5025.5038889847474</v>
      </c>
      <c r="C36" s="378">
        <f t="shared" si="14"/>
        <v>6693.8440978852177</v>
      </c>
      <c r="D36" s="378">
        <f t="shared" si="14"/>
        <v>7763.0716033743802</v>
      </c>
      <c r="E36" s="378">
        <f t="shared" si="14"/>
        <v>8323.1081297539858</v>
      </c>
      <c r="F36" s="378">
        <f t="shared" si="14"/>
        <v>10217.586910379927</v>
      </c>
      <c r="G36" s="378">
        <f t="shared" si="14"/>
        <v>10879.167866341666</v>
      </c>
      <c r="H36" s="378">
        <f t="shared" si="14"/>
        <v>10516.248827627824</v>
      </c>
      <c r="I36" s="378">
        <f t="shared" si="14"/>
        <v>13964.444953318138</v>
      </c>
      <c r="J36" s="378">
        <f t="shared" si="14"/>
        <v>15908.286634380591</v>
      </c>
      <c r="K36" s="378">
        <f t="shared" si="14"/>
        <v>15365.577054564175</v>
      </c>
      <c r="L36" s="378">
        <f t="shared" si="14"/>
        <v>15149.13479745013</v>
      </c>
      <c r="M36" s="378">
        <f t="shared" si="14"/>
        <v>14847.1136041754</v>
      </c>
      <c r="N36" s="378">
        <f t="shared" si="14"/>
        <v>16798.296501209847</v>
      </c>
      <c r="O36" s="378">
        <f t="shared" si="14"/>
        <v>17052.318295258599</v>
      </c>
      <c r="P36" s="378">
        <f t="shared" si="14"/>
        <v>16363.490732212324</v>
      </c>
      <c r="Q36" s="378">
        <f t="shared" si="14"/>
        <v>16979.433931924388</v>
      </c>
      <c r="R36" s="378">
        <f t="shared" si="14"/>
        <v>20645.814425228287</v>
      </c>
      <c r="S36" s="378">
        <f t="shared" si="14"/>
        <v>25381.711296708687</v>
      </c>
      <c r="T36" s="378">
        <f t="shared" si="14"/>
        <v>26616.946220099268</v>
      </c>
      <c r="U36" s="378">
        <f t="shared" si="14"/>
        <v>27474.003620766565</v>
      </c>
      <c r="V36" s="378">
        <f t="shared" si="14"/>
        <v>30800.389620960144</v>
      </c>
      <c r="W36" s="378">
        <f t="shared" si="14"/>
        <v>28336.548789892338</v>
      </c>
      <c r="X36" s="378">
        <f t="shared" si="14"/>
        <v>39677.970656198668</v>
      </c>
      <c r="Y36" s="379">
        <f t="shared" si="14"/>
        <v>63164.726217670177</v>
      </c>
      <c r="Z36" s="380">
        <f t="shared" si="14"/>
        <v>0</v>
      </c>
      <c r="AA36" s="380" t="e">
        <f t="shared" si="14"/>
        <v>#DIV/0!</v>
      </c>
      <c r="AB36" s="380" t="e">
        <f t="shared" si="14"/>
        <v>#DIV/0!</v>
      </c>
      <c r="AC36" s="380" t="e">
        <f t="shared" si="14"/>
        <v>#DIV/0!</v>
      </c>
      <c r="AD36" s="380" t="e">
        <f t="shared" si="14"/>
        <v>#DIV/0!</v>
      </c>
      <c r="AE36" s="380" t="e">
        <f t="shared" si="14"/>
        <v>#DIV/0!</v>
      </c>
      <c r="AF36" s="380" t="e">
        <f t="shared" si="14"/>
        <v>#DIV/0!</v>
      </c>
      <c r="AG36" s="380" t="e">
        <f t="shared" si="14"/>
        <v>#DIV/0!</v>
      </c>
      <c r="AH36" s="380" t="e">
        <f t="shared" si="14"/>
        <v>#DIV/0!</v>
      </c>
      <c r="AI36" s="380" t="e">
        <f t="shared" si="14"/>
        <v>#DIV/0!</v>
      </c>
      <c r="AJ36" s="380" t="e">
        <f t="shared" si="14"/>
        <v>#DIV/0!</v>
      </c>
      <c r="AK36" s="381" t="e">
        <f t="shared" si="14"/>
        <v>#DIV/0!</v>
      </c>
      <c r="AL36" s="5"/>
      <c r="AM36" s="89"/>
      <c r="AN36" s="89"/>
      <c r="AO36" s="89"/>
      <c r="AP36" s="89"/>
      <c r="AQ36" s="89"/>
      <c r="AR36" s="89"/>
      <c r="AS36" s="89"/>
      <c r="AT36" s="89"/>
      <c r="AU36" s="89"/>
      <c r="AV36" s="89"/>
      <c r="AW36" s="89"/>
      <c r="AX36" s="89"/>
      <c r="AY36" s="89"/>
    </row>
    <row r="37" spans="1:51" s="11" customFormat="1">
      <c r="B37" s="89"/>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5"/>
      <c r="AM37" s="89"/>
      <c r="AN37" s="89"/>
      <c r="AO37" s="89"/>
      <c r="AP37" s="89"/>
      <c r="AQ37" s="89"/>
      <c r="AR37" s="89"/>
      <c r="AS37" s="89"/>
      <c r="AT37" s="89"/>
      <c r="AU37" s="89"/>
      <c r="AV37" s="89"/>
      <c r="AW37" s="89"/>
      <c r="AX37" s="89"/>
      <c r="AY37" s="89"/>
    </row>
    <row r="38" spans="1:51">
      <c r="A38" s="372" t="s">
        <v>232</v>
      </c>
      <c r="B38" s="373">
        <v>36525</v>
      </c>
      <c r="C38" s="373">
        <v>36891</v>
      </c>
      <c r="D38" s="373">
        <v>37256</v>
      </c>
      <c r="E38" s="373">
        <v>37621</v>
      </c>
      <c r="F38" s="373">
        <v>37986</v>
      </c>
      <c r="G38" s="373">
        <v>38352</v>
      </c>
      <c r="H38" s="373">
        <v>38717</v>
      </c>
      <c r="I38" s="373">
        <v>39082</v>
      </c>
      <c r="J38" s="373">
        <v>39447</v>
      </c>
      <c r="K38" s="373">
        <v>39813</v>
      </c>
      <c r="L38" s="373">
        <v>40178</v>
      </c>
      <c r="M38" s="373">
        <v>40543</v>
      </c>
      <c r="N38" s="373">
        <v>40908</v>
      </c>
      <c r="O38" s="373">
        <v>41274</v>
      </c>
      <c r="P38" s="373">
        <v>41639</v>
      </c>
      <c r="Q38" s="373">
        <v>42004</v>
      </c>
      <c r="R38" s="373">
        <v>42369</v>
      </c>
      <c r="S38" s="373">
        <v>42735</v>
      </c>
      <c r="T38" s="373">
        <v>43100</v>
      </c>
      <c r="U38" s="373">
        <v>43465</v>
      </c>
      <c r="V38" s="373">
        <v>43830</v>
      </c>
      <c r="W38" s="373">
        <v>44196</v>
      </c>
      <c r="X38" s="373">
        <v>44561</v>
      </c>
      <c r="Y38" s="382">
        <v>44926</v>
      </c>
      <c r="Z38" s="373">
        <v>45291</v>
      </c>
      <c r="AA38" s="373">
        <v>45657</v>
      </c>
      <c r="AB38" s="373">
        <v>46022</v>
      </c>
      <c r="AC38" s="373">
        <v>46387</v>
      </c>
      <c r="AD38" s="373">
        <v>46752</v>
      </c>
      <c r="AE38" s="373">
        <v>47118</v>
      </c>
      <c r="AF38" s="373">
        <v>47483</v>
      </c>
      <c r="AG38" s="373">
        <v>47848</v>
      </c>
      <c r="AH38" s="373">
        <v>48213</v>
      </c>
      <c r="AI38" s="373">
        <v>48579</v>
      </c>
      <c r="AJ38" s="373">
        <v>48944</v>
      </c>
      <c r="AK38" s="374">
        <v>49309</v>
      </c>
      <c r="AM38" s="89"/>
      <c r="AN38" s="89"/>
      <c r="AO38" s="89"/>
      <c r="AP38" s="89"/>
      <c r="AQ38" s="89"/>
      <c r="AR38" s="89"/>
      <c r="AS38" s="89"/>
      <c r="AT38" s="89"/>
      <c r="AU38" s="89"/>
      <c r="AV38" s="89"/>
      <c r="AW38" s="89"/>
      <c r="AX38" s="89"/>
      <c r="AY38" s="89"/>
    </row>
    <row r="39" spans="1:51">
      <c r="A39" s="356" t="s">
        <v>227</v>
      </c>
      <c r="B39" s="226">
        <v>12002.884725142943</v>
      </c>
      <c r="C39" s="226">
        <v>12026.353303863829</v>
      </c>
      <c r="D39" s="226">
        <v>13812.010236958009</v>
      </c>
      <c r="E39" s="226">
        <v>13331.59472507787</v>
      </c>
      <c r="F39" s="226">
        <v>13394.462129323289</v>
      </c>
      <c r="G39" s="226">
        <v>15596.79157719477</v>
      </c>
      <c r="H39" s="226">
        <v>25757.178145905731</v>
      </c>
      <c r="I39" s="226">
        <v>22580.308996699128</v>
      </c>
      <c r="J39" s="226">
        <v>18578.820581044001</v>
      </c>
      <c r="K39" s="226">
        <v>22851.997260127882</v>
      </c>
      <c r="L39" s="226">
        <v>24744.546151605187</v>
      </c>
      <c r="M39" s="226">
        <v>26776.686017471598</v>
      </c>
      <c r="N39" s="226">
        <v>28209.913683845585</v>
      </c>
      <c r="O39" s="226">
        <v>24612.465902923082</v>
      </c>
      <c r="P39" s="226">
        <v>29600.905252649485</v>
      </c>
      <c r="Q39" s="226">
        <v>32023.392274983926</v>
      </c>
      <c r="R39" s="226">
        <v>29246.420861371029</v>
      </c>
      <c r="S39" s="226">
        <v>35299.874764113796</v>
      </c>
      <c r="T39" s="226">
        <v>36140.579666014783</v>
      </c>
      <c r="U39" s="343">
        <v>37911.966010088603</v>
      </c>
      <c r="V39" s="343">
        <v>23952.75331546702</v>
      </c>
      <c r="W39" s="343">
        <v>42625.58079203208</v>
      </c>
      <c r="X39" s="343">
        <v>55310.119436347944</v>
      </c>
      <c r="Y39" s="386">
        <v>50163.242997442314</v>
      </c>
      <c r="Z39" s="354">
        <f>'Calculo deuda'!F13</f>
        <v>0</v>
      </c>
      <c r="AA39" s="354" t="e">
        <f>'Calculo deuda'!G13</f>
        <v>#DIV/0!</v>
      </c>
      <c r="AB39" s="354" t="e">
        <f>'Calculo deuda'!H13</f>
        <v>#DIV/0!</v>
      </c>
      <c r="AC39" s="354" t="e">
        <f>'Calculo deuda'!I13</f>
        <v>#DIV/0!</v>
      </c>
      <c r="AD39" s="354" t="e">
        <f>'Calculo deuda'!J13</f>
        <v>#DIV/0!</v>
      </c>
      <c r="AE39" s="354" t="e">
        <f>'Calculo deuda'!K13</f>
        <v>#DIV/0!</v>
      </c>
      <c r="AF39" s="354" t="e">
        <f>'Calculo deuda'!L13</f>
        <v>#DIV/0!</v>
      </c>
      <c r="AG39" s="354" t="e">
        <f>'Calculo deuda'!M13</f>
        <v>#DIV/0!</v>
      </c>
      <c r="AH39" s="354" t="e">
        <f>'Calculo deuda'!N13</f>
        <v>#DIV/0!</v>
      </c>
      <c r="AI39" s="354" t="e">
        <f>'Calculo deuda'!O13</f>
        <v>#DIV/0!</v>
      </c>
      <c r="AJ39" s="354" t="e">
        <f>'Calculo deuda'!P13</f>
        <v>#DIV/0!</v>
      </c>
      <c r="AK39" s="355" t="e">
        <f>'Calculo deuda'!Q13</f>
        <v>#DIV/0!</v>
      </c>
      <c r="AM39" s="89"/>
      <c r="AN39" s="89"/>
      <c r="AO39" s="89"/>
      <c r="AP39" s="89"/>
      <c r="AQ39" s="89"/>
      <c r="AR39" s="89"/>
      <c r="AS39" s="89"/>
      <c r="AT39" s="89"/>
      <c r="AU39" s="89"/>
      <c r="AV39" s="89"/>
      <c r="AW39" s="89"/>
      <c r="AX39" s="89"/>
      <c r="AY39" s="89"/>
    </row>
    <row r="40" spans="1:51">
      <c r="A40" s="357" t="s">
        <v>228</v>
      </c>
      <c r="B40" s="95">
        <v>5102.2693492350418</v>
      </c>
      <c r="C40" s="95">
        <v>5730.547654496816</v>
      </c>
      <c r="D40" s="95">
        <v>12589.777830629637</v>
      </c>
      <c r="E40" s="95">
        <v>5093.8571898576911</v>
      </c>
      <c r="F40" s="95">
        <v>12783.584647104981</v>
      </c>
      <c r="G40" s="95">
        <v>6978.1272434921757</v>
      </c>
      <c r="H40" s="95">
        <v>7058.7478062150149</v>
      </c>
      <c r="I40" s="95">
        <v>10090.499178439608</v>
      </c>
      <c r="J40" s="95">
        <v>2502.7783761600917</v>
      </c>
      <c r="K40" s="95">
        <v>5866.3478318110947</v>
      </c>
      <c r="L40" s="95">
        <v>11924.837296667367</v>
      </c>
      <c r="M40" s="95">
        <v>6305.4060020254974</v>
      </c>
      <c r="N40" s="95">
        <v>5656.7889523560889</v>
      </c>
      <c r="O40" s="95">
        <v>4483.2770466489656</v>
      </c>
      <c r="P40" s="95">
        <v>7522.8300499652532</v>
      </c>
      <c r="Q40" s="95">
        <v>10881.813775149323</v>
      </c>
      <c r="R40" s="95">
        <v>18755.784933081239</v>
      </c>
      <c r="S40" s="95">
        <v>14423.858742371942</v>
      </c>
      <c r="T40" s="95">
        <v>15135.012224541606</v>
      </c>
      <c r="U40" s="145">
        <v>12371.143128760483</v>
      </c>
      <c r="V40" s="145">
        <v>12362.577071252472</v>
      </c>
      <c r="W40" s="145">
        <v>38668.248409657979</v>
      </c>
      <c r="X40" s="145">
        <v>32848.599904499737</v>
      </c>
      <c r="Y40" s="146">
        <v>20904.221926255294</v>
      </c>
      <c r="Z40" s="10">
        <f>'Calculo deuda'!F25</f>
        <v>0</v>
      </c>
      <c r="AA40" s="10" t="e">
        <f>'Calculo deuda'!G25</f>
        <v>#DIV/0!</v>
      </c>
      <c r="AB40" s="10" t="e">
        <f>'Calculo deuda'!H25</f>
        <v>#DIV/0!</v>
      </c>
      <c r="AC40" s="10" t="e">
        <f>'Calculo deuda'!I25</f>
        <v>#DIV/0!</v>
      </c>
      <c r="AD40" s="10" t="e">
        <f>'Calculo deuda'!J25</f>
        <v>#DIV/0!</v>
      </c>
      <c r="AE40" s="10" t="e">
        <f>'Calculo deuda'!K25</f>
        <v>#DIV/0!</v>
      </c>
      <c r="AF40" s="10" t="e">
        <f>'Calculo deuda'!L25</f>
        <v>#DIV/0!</v>
      </c>
      <c r="AG40" s="10" t="e">
        <f>'Calculo deuda'!M25</f>
        <v>#DIV/0!</v>
      </c>
      <c r="AH40" s="10" t="e">
        <f>'Calculo deuda'!N25</f>
        <v>#DIV/0!</v>
      </c>
      <c r="AI40" s="10" t="e">
        <f>'Calculo deuda'!O25</f>
        <v>#DIV/0!</v>
      </c>
      <c r="AJ40" s="10" t="e">
        <f>'Calculo deuda'!P25</f>
        <v>#DIV/0!</v>
      </c>
      <c r="AK40" s="265" t="e">
        <f>'Calculo deuda'!Q25</f>
        <v>#DIV/0!</v>
      </c>
      <c r="AM40" s="89"/>
      <c r="AN40" s="89"/>
      <c r="AO40" s="89"/>
      <c r="AP40" s="89"/>
      <c r="AQ40" s="89"/>
      <c r="AR40" s="89"/>
      <c r="AS40" s="89"/>
      <c r="AT40" s="89"/>
      <c r="AU40" s="89"/>
      <c r="AV40" s="89"/>
      <c r="AW40" s="89"/>
      <c r="AX40" s="89"/>
      <c r="AY40" s="89"/>
    </row>
    <row r="41" spans="1:51">
      <c r="A41" s="357" t="s">
        <v>225</v>
      </c>
      <c r="B41" s="95">
        <v>6289.7043842070307</v>
      </c>
      <c r="C41" s="95">
        <v>5368.0865265513303</v>
      </c>
      <c r="D41" s="95">
        <v>7925.0900642811748</v>
      </c>
      <c r="E41" s="95">
        <v>6803.3665306889015</v>
      </c>
      <c r="F41" s="95">
        <v>7090.2209999999995</v>
      </c>
      <c r="G41" s="95">
        <v>9306.7766272238314</v>
      </c>
      <c r="H41" s="95">
        <v>9422.243959182857</v>
      </c>
      <c r="I41" s="95">
        <v>15519.987650870509</v>
      </c>
      <c r="J41" s="95">
        <v>17115.348444622632</v>
      </c>
      <c r="K41" s="95">
        <v>15825.97417782171</v>
      </c>
      <c r="L41" s="95">
        <v>12610.934266176941</v>
      </c>
      <c r="M41" s="95">
        <v>13011.325867058293</v>
      </c>
      <c r="N41" s="95">
        <v>13545.019355887202</v>
      </c>
      <c r="O41" s="95">
        <v>13895.136849124399</v>
      </c>
      <c r="P41" s="95">
        <v>17359.819864988862</v>
      </c>
      <c r="Q41" s="95">
        <v>17037.330354611902</v>
      </c>
      <c r="R41" s="95">
        <v>19602.29082384233</v>
      </c>
      <c r="S41" s="95">
        <v>12033.758258212212</v>
      </c>
      <c r="T41" s="95">
        <v>14474.401073723877</v>
      </c>
      <c r="U41" s="145">
        <v>6706.9397489047751</v>
      </c>
      <c r="V41" s="145">
        <v>24680.701504623517</v>
      </c>
      <c r="W41" s="145">
        <v>8495.0820328929385</v>
      </c>
      <c r="X41" s="145">
        <v>17683.183924628051</v>
      </c>
      <c r="Y41" s="146">
        <v>18252.738923708301</v>
      </c>
      <c r="Z41" s="10">
        <f>('Deuda a emitir'!B22+'Deuda a emitir'!B32)</f>
        <v>0</v>
      </c>
      <c r="AA41" s="10">
        <f>('Deuda a emitir'!C22+'Deuda a emitir'!C32)</f>
        <v>0</v>
      </c>
      <c r="AB41" s="10">
        <f>('Deuda a emitir'!D22+'Deuda a emitir'!D32)</f>
        <v>0</v>
      </c>
      <c r="AC41" s="10">
        <f>('Deuda a emitir'!E22+'Deuda a emitir'!E32)</f>
        <v>0</v>
      </c>
      <c r="AD41" s="10">
        <f>('Deuda a emitir'!F22+'Deuda a emitir'!F32)</f>
        <v>0</v>
      </c>
      <c r="AE41" s="10">
        <f>('Deuda a emitir'!G22+'Deuda a emitir'!G32)</f>
        <v>0</v>
      </c>
      <c r="AF41" s="10" t="e">
        <f>('Deuda a emitir'!H22+'Deuda a emitir'!H32)</f>
        <v>#DIV/0!</v>
      </c>
      <c r="AG41" s="10" t="e">
        <f>('Deuda a emitir'!I22+'Deuda a emitir'!I32)</f>
        <v>#DIV/0!</v>
      </c>
      <c r="AH41" s="10" t="e">
        <f>('Deuda a emitir'!J22+'Deuda a emitir'!J32)</f>
        <v>#DIV/0!</v>
      </c>
      <c r="AI41" s="10" t="e">
        <f>('Deuda a emitir'!K22+'Deuda a emitir'!K32)</f>
        <v>#DIV/0!</v>
      </c>
      <c r="AJ41" s="10" t="e">
        <f>('Deuda a emitir'!L22+'Deuda a emitir'!L32)</f>
        <v>#DIV/0!</v>
      </c>
      <c r="AK41" s="265" t="e">
        <f>('Deuda a emitir'!M22+'Deuda a emitir'!M32)</f>
        <v>#DIV/0!</v>
      </c>
      <c r="AM41" s="89"/>
      <c r="AN41" s="89"/>
      <c r="AO41" s="89"/>
      <c r="AP41" s="89"/>
      <c r="AQ41" s="89"/>
      <c r="AR41" s="89"/>
      <c r="AS41" s="89"/>
      <c r="AT41" s="89"/>
      <c r="AU41" s="89"/>
      <c r="AV41" s="89"/>
      <c r="AW41" s="89"/>
      <c r="AX41" s="89"/>
      <c r="AY41" s="89"/>
    </row>
    <row r="42" spans="1:51">
      <c r="A42" s="357" t="s">
        <v>226</v>
      </c>
      <c r="B42" s="95">
        <v>1857.7492827712804</v>
      </c>
      <c r="C42" s="95">
        <v>2056.3662416956058</v>
      </c>
      <c r="D42" s="95">
        <v>3843.3646395864275</v>
      </c>
      <c r="E42" s="95">
        <v>5112.9258483815465</v>
      </c>
      <c r="F42" s="95">
        <v>7184.0235078808319</v>
      </c>
      <c r="G42" s="95">
        <v>3531.9205006363336</v>
      </c>
      <c r="H42" s="95">
        <v>8137.99601819076</v>
      </c>
      <c r="I42" s="95">
        <v>4689.7211887819603</v>
      </c>
      <c r="J42" s="95">
        <v>3378.0031631777297</v>
      </c>
      <c r="K42" s="95">
        <v>3364.3221493282099</v>
      </c>
      <c r="L42" s="95">
        <v>2683.2774116565697</v>
      </c>
      <c r="M42" s="95">
        <v>3331.4713302567884</v>
      </c>
      <c r="N42" s="95">
        <v>2243.9825503814764</v>
      </c>
      <c r="O42" s="95">
        <v>3591.654794767991</v>
      </c>
      <c r="P42" s="95">
        <v>2859.5052132475939</v>
      </c>
      <c r="Q42" s="95">
        <v>4824.3496204674357</v>
      </c>
      <c r="R42" s="95">
        <v>6056.6426236120715</v>
      </c>
      <c r="S42" s="95">
        <v>3558.2776791098577</v>
      </c>
      <c r="T42" s="95">
        <v>7688.0841535040008</v>
      </c>
      <c r="U42" s="145">
        <v>2954.8419708902634</v>
      </c>
      <c r="V42" s="145">
        <v>8011.6886963175793</v>
      </c>
      <c r="W42" s="145">
        <v>6388.8783713057192</v>
      </c>
      <c r="X42" s="145">
        <v>10847.47832525973</v>
      </c>
      <c r="Y42" s="146">
        <v>4196.9259834415898</v>
      </c>
      <c r="Z42" s="10">
        <f>('Deuda a emitir'!B27+'Deuda a emitir'!B36)</f>
        <v>0</v>
      </c>
      <c r="AA42" s="10">
        <f>('Deuda a emitir'!C27+'Deuda a emitir'!C36)</f>
        <v>0</v>
      </c>
      <c r="AB42" s="10">
        <f>('Deuda a emitir'!D27+'Deuda a emitir'!D36)</f>
        <v>0</v>
      </c>
      <c r="AC42" s="10">
        <f>('Deuda a emitir'!E27+'Deuda a emitir'!E36)</f>
        <v>0</v>
      </c>
      <c r="AD42" s="10">
        <f>('Deuda a emitir'!F27+'Deuda a emitir'!F36)</f>
        <v>0</v>
      </c>
      <c r="AE42" s="10" t="e">
        <f>('Deuda a emitir'!G27+'Deuda a emitir'!G36)</f>
        <v>#DIV/0!</v>
      </c>
      <c r="AF42" s="10" t="e">
        <f>('Deuda a emitir'!H27+'Deuda a emitir'!H36)</f>
        <v>#DIV/0!</v>
      </c>
      <c r="AG42" s="10" t="e">
        <f>('Deuda a emitir'!I27+'Deuda a emitir'!I36)</f>
        <v>#DIV/0!</v>
      </c>
      <c r="AH42" s="10" t="e">
        <f>('Deuda a emitir'!J27+'Deuda a emitir'!J36)</f>
        <v>#DIV/0!</v>
      </c>
      <c r="AI42" s="10" t="e">
        <f>('Deuda a emitir'!K27+'Deuda a emitir'!K36)</f>
        <v>#DIV/0!</v>
      </c>
      <c r="AJ42" s="10" t="e">
        <f>('Deuda a emitir'!L27+'Deuda a emitir'!L36)</f>
        <v>#DIV/0!</v>
      </c>
      <c r="AK42" s="265" t="e">
        <f>('Deuda a emitir'!M27+'Deuda a emitir'!M36)</f>
        <v>#DIV/0!</v>
      </c>
      <c r="AM42" s="89"/>
      <c r="AN42" s="89"/>
      <c r="AO42" s="89"/>
      <c r="AP42" s="89"/>
      <c r="AQ42" s="89"/>
      <c r="AR42" s="89"/>
      <c r="AS42" s="89"/>
      <c r="AT42" s="89"/>
      <c r="AU42" s="89"/>
      <c r="AV42" s="89"/>
      <c r="AW42" s="89"/>
      <c r="AX42" s="89"/>
      <c r="AY42" s="89"/>
    </row>
    <row r="43" spans="1:51">
      <c r="A43" s="357" t="s">
        <v>296</v>
      </c>
      <c r="B43" s="95">
        <f t="shared" ref="B43:AK43" si="15">B36-B34</f>
        <v>5025.5038889847474</v>
      </c>
      <c r="C43" s="95">
        <f t="shared" si="15"/>
        <v>6630.228516580818</v>
      </c>
      <c r="D43" s="95">
        <f t="shared" si="15"/>
        <v>7496.9934499022793</v>
      </c>
      <c r="E43" s="95">
        <f t="shared" si="15"/>
        <v>7902.4001262864858</v>
      </c>
      <c r="F43" s="95">
        <f t="shared" si="15"/>
        <v>9655.508850465927</v>
      </c>
      <c r="G43" s="95">
        <f t="shared" si="15"/>
        <v>10263.945169564367</v>
      </c>
      <c r="H43" s="95">
        <f t="shared" si="15"/>
        <v>9880.8925531353216</v>
      </c>
      <c r="I43" s="95">
        <f t="shared" si="15"/>
        <v>13327.30483890884</v>
      </c>
      <c r="J43" s="95">
        <f t="shared" si="15"/>
        <v>15016.42884547798</v>
      </c>
      <c r="K43" s="95">
        <f t="shared" si="15"/>
        <v>13923.163951650806</v>
      </c>
      <c r="L43" s="95">
        <f t="shared" si="15"/>
        <v>14582.607963503764</v>
      </c>
      <c r="M43" s="95">
        <f t="shared" si="15"/>
        <v>14212.777104467414</v>
      </c>
      <c r="N43" s="95">
        <f t="shared" si="15"/>
        <v>15636.975040173264</v>
      </c>
      <c r="O43" s="95">
        <f t="shared" si="15"/>
        <v>16076.194221555643</v>
      </c>
      <c r="P43" s="95">
        <f t="shared" si="15"/>
        <v>15804.231060839944</v>
      </c>
      <c r="Q43" s="95">
        <f t="shared" si="15"/>
        <v>15593.764600208004</v>
      </c>
      <c r="R43" s="95">
        <f t="shared" si="15"/>
        <v>17621.172199133198</v>
      </c>
      <c r="S43" s="95">
        <f t="shared" si="15"/>
        <v>21527.750028352639</v>
      </c>
      <c r="T43" s="95">
        <f t="shared" si="15"/>
        <v>23660.022595277231</v>
      </c>
      <c r="U43" s="145">
        <f t="shared" si="15"/>
        <v>24747.519339880782</v>
      </c>
      <c r="V43" s="145">
        <f t="shared" si="15"/>
        <v>26894.88068835079</v>
      </c>
      <c r="W43" s="145">
        <f t="shared" si="15"/>
        <v>26597.952929411156</v>
      </c>
      <c r="X43" s="145">
        <f t="shared" si="15"/>
        <v>34024.525779149059</v>
      </c>
      <c r="Y43" s="146">
        <f t="shared" si="15"/>
        <v>46418.926184478478</v>
      </c>
      <c r="Z43" s="44">
        <f t="shared" si="15"/>
        <v>0</v>
      </c>
      <c r="AA43" s="10" t="e">
        <f t="shared" si="15"/>
        <v>#DIV/0!</v>
      </c>
      <c r="AB43" s="10" t="e">
        <f t="shared" si="15"/>
        <v>#DIV/0!</v>
      </c>
      <c r="AC43" s="10" t="e">
        <f t="shared" si="15"/>
        <v>#DIV/0!</v>
      </c>
      <c r="AD43" s="10" t="e">
        <f t="shared" si="15"/>
        <v>#DIV/0!</v>
      </c>
      <c r="AE43" s="10" t="e">
        <f t="shared" si="15"/>
        <v>#DIV/0!</v>
      </c>
      <c r="AF43" s="10" t="e">
        <f t="shared" si="15"/>
        <v>#DIV/0!</v>
      </c>
      <c r="AG43" s="10" t="e">
        <f t="shared" si="15"/>
        <v>#DIV/0!</v>
      </c>
      <c r="AH43" s="10" t="e">
        <f t="shared" si="15"/>
        <v>#DIV/0!</v>
      </c>
      <c r="AI43" s="10" t="e">
        <f t="shared" si="15"/>
        <v>#DIV/0!</v>
      </c>
      <c r="AJ43" s="10" t="e">
        <f t="shared" si="15"/>
        <v>#DIV/0!</v>
      </c>
      <c r="AK43" s="265" t="e">
        <f t="shared" si="15"/>
        <v>#DIV/0!</v>
      </c>
      <c r="AM43" s="89"/>
      <c r="AN43" s="89"/>
      <c r="AO43" s="89"/>
      <c r="AP43" s="89"/>
      <c r="AQ43" s="89"/>
      <c r="AR43" s="89"/>
      <c r="AS43" s="89"/>
      <c r="AT43" s="89"/>
      <c r="AU43" s="89"/>
      <c r="AV43" s="89"/>
      <c r="AW43" s="89"/>
      <c r="AX43" s="89"/>
      <c r="AY43" s="89"/>
    </row>
    <row r="44" spans="1:51">
      <c r="A44" s="357" t="s">
        <v>295</v>
      </c>
      <c r="B44" s="95">
        <f>-'Dinámica de la deuda'!B21*'Dinámica de la deuda'!B12/100</f>
        <v>6486.2086982670207</v>
      </c>
      <c r="C44" s="95">
        <f>-'Dinámica de la deuda'!C21*'Dinámica de la deuda'!C12/100</f>
        <v>2990.0817501568818</v>
      </c>
      <c r="D44" s="95">
        <f>-'Dinámica de la deuda'!D21*'Dinámica de la deuda'!D12/100</f>
        <v>3086.9273954745422</v>
      </c>
      <c r="E44" s="95">
        <f>-'Dinámica de la deuda'!E21*'Dinámica de la deuda'!E12/100</f>
        <v>4111.4521280442996</v>
      </c>
      <c r="F44" s="95">
        <f>-'Dinámica de la deuda'!F21*'Dinámica de la deuda'!F12/100</f>
        <v>1310.6199190877153</v>
      </c>
      <c r="G44" s="95">
        <f>-'Dinámica de la deuda'!G21*'Dinámica de la deuda'!G12/100</f>
        <v>2834.0572845029201</v>
      </c>
      <c r="H44" s="95">
        <f>-'Dinámica de la deuda'!H21*'Dinámica de la deuda'!H12/100</f>
        <v>2993.0520293119362</v>
      </c>
      <c r="I44" s="95">
        <f>-'Dinámica de la deuda'!I21*'Dinámica de la deuda'!I12/100</f>
        <v>-895.72203592528092</v>
      </c>
      <c r="J44" s="95">
        <f>-'Dinámica de la deuda'!J21*'Dinámica de la deuda'!J12/100</f>
        <v>-4294.6584178957874</v>
      </c>
      <c r="K44" s="95">
        <f>-'Dinámica de la deuda'!K21*'Dinámica de la deuda'!K12/100</f>
        <v>-4297.8107933429446</v>
      </c>
      <c r="L44" s="95">
        <f>-'Dinámica de la deuda'!L21*'Dinámica de la deuda'!L12/100</f>
        <v>5565.8888594000127</v>
      </c>
      <c r="M44" s="95">
        <f>-'Dinámica de la deuda'!M21*'Dinámica de la deuda'!M12/100</f>
        <v>6172.0512920380497</v>
      </c>
      <c r="N44" s="95">
        <f>-'Dinámica de la deuda'!N21*'Dinámica de la deuda'!N12/100</f>
        <v>708.4308868040938</v>
      </c>
      <c r="O44" s="95">
        <f>-'Dinámica de la deuda'!O21*'Dinámica de la deuda'!O12/100</f>
        <v>-1611.1425245906655</v>
      </c>
      <c r="P44" s="95">
        <f>-'Dinámica de la deuda'!P21*'Dinámica de la deuda'!P12/100</f>
        <v>281.92849848906536</v>
      </c>
      <c r="Q44" s="95">
        <f>-'Dinámica de la deuda'!Q21*'Dinámica de la deuda'!Q12/100</f>
        <v>1376.9052602445729</v>
      </c>
      <c r="R44" s="95">
        <f>-'Dinámica de la deuda'!R21*'Dinámica de la deuda'!R12/100</f>
        <v>3622.7750507243413</v>
      </c>
      <c r="S44" s="95">
        <f>-'Dinámica de la deuda'!S21*'Dinámica de la deuda'!S12/100</f>
        <v>9543.7313653666661</v>
      </c>
      <c r="T44" s="95">
        <f>-'Dinámica de la deuda'!T21*'Dinámica de la deuda'!T12/100</f>
        <v>7018.5365663541806</v>
      </c>
      <c r="U44" s="145">
        <f>-'Dinámica de la deuda'!U21*'Dinámica de la deuda'!U12/100</f>
        <v>3374.7733980177436</v>
      </c>
      <c r="V44" s="145">
        <f>-'Dinámica de la deuda'!V21*'Dinámica de la deuda'!V12/100</f>
        <v>-4751.9315534903644</v>
      </c>
      <c r="W44" s="145">
        <f>-'Dinámica de la deuda'!W21*'Dinámica de la deuda'!W12/100</f>
        <v>49427.099660947948</v>
      </c>
      <c r="X44" s="145">
        <f>-'Dinámica de la deuda'!X21*'Dinámica de la deuda'!X12/100</f>
        <v>43471.070973239017</v>
      </c>
      <c r="Y44" s="146">
        <f>-'Dinámica de la deuda'!Y21*'Dinámica de la deuda'!Y12/100</f>
        <v>14414.723870917873</v>
      </c>
      <c r="Z44" s="415">
        <f>-Supuestos!F107</f>
        <v>0</v>
      </c>
      <c r="AA44" s="415">
        <f>-Supuestos!G107</f>
        <v>0</v>
      </c>
      <c r="AB44" s="415">
        <f>-Supuestos!H107</f>
        <v>0</v>
      </c>
      <c r="AC44" s="415">
        <f>-Supuestos!I107</f>
        <v>0</v>
      </c>
      <c r="AD44" s="415">
        <f>-Supuestos!J107</f>
        <v>0</v>
      </c>
      <c r="AE44" s="415">
        <f>-Supuestos!K107</f>
        <v>0</v>
      </c>
      <c r="AF44" s="415">
        <f>-Supuestos!L107</f>
        <v>0</v>
      </c>
      <c r="AG44" s="415">
        <f>-Supuestos!M107</f>
        <v>0</v>
      </c>
      <c r="AH44" s="415">
        <f>-Supuestos!N107</f>
        <v>0</v>
      </c>
      <c r="AI44" s="415">
        <f>-Supuestos!O107</f>
        <v>0</v>
      </c>
      <c r="AJ44" s="415">
        <f>-Supuestos!P107</f>
        <v>0</v>
      </c>
      <c r="AK44" s="416">
        <f>-Supuestos!Q107</f>
        <v>0</v>
      </c>
      <c r="AM44" s="89"/>
      <c r="AN44" s="89"/>
      <c r="AO44" s="89"/>
      <c r="AP44" s="89"/>
      <c r="AQ44" s="89"/>
      <c r="AR44" s="89"/>
      <c r="AS44" s="89"/>
      <c r="AT44" s="89"/>
      <c r="AU44" s="89"/>
      <c r="AV44" s="89"/>
      <c r="AW44" s="89"/>
      <c r="AX44" s="89"/>
      <c r="AY44" s="89"/>
    </row>
    <row r="45" spans="1:51" s="11" customFormat="1">
      <c r="A45" s="385" t="s">
        <v>42</v>
      </c>
      <c r="B45" s="380">
        <f t="shared" ref="B45:AK45" si="16">SUM(B41:B44)</f>
        <v>19659.166254230076</v>
      </c>
      <c r="C45" s="380">
        <f t="shared" si="16"/>
        <v>17044.763034984637</v>
      </c>
      <c r="D45" s="380">
        <f t="shared" si="16"/>
        <v>22352.375549244425</v>
      </c>
      <c r="E45" s="380">
        <f t="shared" si="16"/>
        <v>23930.144633401236</v>
      </c>
      <c r="F45" s="380">
        <f t="shared" si="16"/>
        <v>25240.373277434475</v>
      </c>
      <c r="G45" s="380">
        <f t="shared" si="16"/>
        <v>25936.699581927453</v>
      </c>
      <c r="H45" s="380">
        <f t="shared" si="16"/>
        <v>30434.184559820878</v>
      </c>
      <c r="I45" s="380">
        <f t="shared" si="16"/>
        <v>32641.291642636032</v>
      </c>
      <c r="J45" s="380">
        <f t="shared" si="16"/>
        <v>31215.122035382556</v>
      </c>
      <c r="K45" s="380">
        <f t="shared" si="16"/>
        <v>28815.64948545778</v>
      </c>
      <c r="L45" s="380">
        <f t="shared" si="16"/>
        <v>35442.708500737288</v>
      </c>
      <c r="M45" s="380">
        <f t="shared" si="16"/>
        <v>36727.625593820543</v>
      </c>
      <c r="N45" s="380">
        <f t="shared" si="16"/>
        <v>32134.407833246034</v>
      </c>
      <c r="O45" s="380">
        <f t="shared" si="16"/>
        <v>31951.843340857369</v>
      </c>
      <c r="P45" s="380">
        <f t="shared" si="16"/>
        <v>36305.48463756546</v>
      </c>
      <c r="Q45" s="380">
        <f t="shared" si="16"/>
        <v>38832.349835531917</v>
      </c>
      <c r="R45" s="380">
        <f t="shared" si="16"/>
        <v>46902.880697311943</v>
      </c>
      <c r="S45" s="380">
        <f t="shared" si="16"/>
        <v>46663.517331041374</v>
      </c>
      <c r="T45" s="380">
        <f t="shared" si="16"/>
        <v>52841.044388859293</v>
      </c>
      <c r="U45" s="380">
        <f t="shared" si="16"/>
        <v>37784.074457693569</v>
      </c>
      <c r="V45" s="380">
        <f t="shared" si="16"/>
        <v>54835.339335801524</v>
      </c>
      <c r="W45" s="380">
        <f t="shared" si="16"/>
        <v>90909.012994557765</v>
      </c>
      <c r="X45" s="380">
        <f t="shared" si="16"/>
        <v>106026.25900227585</v>
      </c>
      <c r="Y45" s="427">
        <f t="shared" si="16"/>
        <v>83283.314962546239</v>
      </c>
      <c r="Z45" s="417">
        <f t="shared" si="16"/>
        <v>0</v>
      </c>
      <c r="AA45" s="417" t="e">
        <f t="shared" si="16"/>
        <v>#DIV/0!</v>
      </c>
      <c r="AB45" s="417" t="e">
        <f t="shared" si="16"/>
        <v>#DIV/0!</v>
      </c>
      <c r="AC45" s="417" t="e">
        <f t="shared" si="16"/>
        <v>#DIV/0!</v>
      </c>
      <c r="AD45" s="417" t="e">
        <f t="shared" si="16"/>
        <v>#DIV/0!</v>
      </c>
      <c r="AE45" s="417" t="e">
        <f t="shared" si="16"/>
        <v>#DIV/0!</v>
      </c>
      <c r="AF45" s="417" t="e">
        <f t="shared" si="16"/>
        <v>#DIV/0!</v>
      </c>
      <c r="AG45" s="417" t="e">
        <f t="shared" si="16"/>
        <v>#DIV/0!</v>
      </c>
      <c r="AH45" s="417" t="e">
        <f t="shared" si="16"/>
        <v>#DIV/0!</v>
      </c>
      <c r="AI45" s="417" t="e">
        <f t="shared" si="16"/>
        <v>#DIV/0!</v>
      </c>
      <c r="AJ45" s="417" t="e">
        <f t="shared" si="16"/>
        <v>#DIV/0!</v>
      </c>
      <c r="AK45" s="418" t="e">
        <f t="shared" si="16"/>
        <v>#DIV/0!</v>
      </c>
      <c r="AM45" s="89"/>
      <c r="AN45" s="89"/>
      <c r="AO45" s="89"/>
      <c r="AP45" s="89"/>
      <c r="AQ45" s="89"/>
      <c r="AR45" s="89"/>
      <c r="AS45" s="89"/>
      <c r="AT45" s="89"/>
      <c r="AU45" s="89"/>
      <c r="AV45" s="89"/>
      <c r="AW45" s="89"/>
      <c r="AX45" s="89"/>
      <c r="AY45" s="89"/>
    </row>
    <row r="46" spans="1:51">
      <c r="B46" s="10"/>
      <c r="C46" s="10"/>
      <c r="D46" s="10"/>
      <c r="E46" s="10"/>
      <c r="F46" s="10"/>
      <c r="G46" s="10"/>
      <c r="H46" s="10"/>
      <c r="I46" s="10"/>
      <c r="J46" s="10"/>
      <c r="K46" s="10"/>
      <c r="L46" s="10"/>
      <c r="M46" s="10"/>
      <c r="N46" s="10"/>
      <c r="S46" s="87"/>
      <c r="U46" s="98"/>
      <c r="V46" s="98"/>
      <c r="W46" s="98"/>
      <c r="X46" s="98"/>
      <c r="Y46" s="99"/>
      <c r="Z46" s="419"/>
      <c r="AA46" s="419"/>
      <c r="AB46" s="419"/>
      <c r="AC46" s="419"/>
      <c r="AD46" s="419"/>
      <c r="AE46" s="419"/>
      <c r="AF46" s="419"/>
      <c r="AG46" s="419"/>
      <c r="AH46" s="419"/>
      <c r="AI46" s="419"/>
      <c r="AJ46" s="419"/>
      <c r="AK46" s="419"/>
      <c r="AM46" s="89"/>
      <c r="AN46" s="89"/>
      <c r="AO46" s="89"/>
      <c r="AP46" s="89"/>
      <c r="AQ46" s="89"/>
      <c r="AR46" s="89"/>
      <c r="AS46" s="89"/>
      <c r="AT46" s="89"/>
      <c r="AU46" s="89"/>
      <c r="AV46" s="89"/>
      <c r="AW46" s="89"/>
      <c r="AX46" s="89"/>
      <c r="AY46" s="89"/>
    </row>
    <row r="47" spans="1:51" ht="21">
      <c r="A47" s="352" t="s">
        <v>0</v>
      </c>
      <c r="B47" s="100"/>
      <c r="C47" s="101"/>
      <c r="D47" s="101"/>
      <c r="E47" s="101"/>
      <c r="F47" s="101"/>
      <c r="G47" s="101"/>
      <c r="H47" s="101"/>
      <c r="I47" s="101"/>
      <c r="J47" s="101"/>
      <c r="K47" s="101"/>
      <c r="L47" s="101"/>
      <c r="M47" s="10"/>
      <c r="N47" s="10"/>
      <c r="U47" s="87"/>
      <c r="V47" s="87"/>
      <c r="W47" s="87"/>
      <c r="X47" s="87"/>
      <c r="Y47" s="99"/>
      <c r="Z47" s="99"/>
      <c r="AA47" s="99"/>
      <c r="AB47" s="87"/>
      <c r="AC47" s="87"/>
      <c r="AD47" s="87"/>
      <c r="AE47" s="87"/>
      <c r="AF47" s="87"/>
      <c r="AG47" s="87"/>
      <c r="AH47" s="87"/>
      <c r="AI47" s="87"/>
      <c r="AJ47" s="87"/>
      <c r="AM47" s="89"/>
      <c r="AN47" s="89"/>
      <c r="AO47" s="89"/>
      <c r="AP47" s="89"/>
      <c r="AQ47" s="89"/>
      <c r="AR47" s="89"/>
      <c r="AS47" s="89"/>
      <c r="AT47" s="89"/>
      <c r="AU47" s="89"/>
      <c r="AV47" s="89"/>
      <c r="AW47" s="89"/>
      <c r="AX47" s="89"/>
      <c r="AY47" s="89"/>
    </row>
    <row r="48" spans="1:51" ht="18">
      <c r="A48" s="353" t="s">
        <v>25</v>
      </c>
      <c r="C48" s="33"/>
      <c r="D48" s="33"/>
      <c r="E48" s="33"/>
      <c r="F48" s="33"/>
      <c r="G48" s="33"/>
      <c r="H48" s="33"/>
      <c r="I48" s="33"/>
      <c r="J48" s="33"/>
      <c r="K48" s="33"/>
      <c r="L48" s="33"/>
      <c r="M48" s="33"/>
      <c r="V48" s="33"/>
      <c r="W48" s="33"/>
      <c r="X48" s="33"/>
      <c r="Y48" s="99"/>
      <c r="Z48" s="99"/>
      <c r="AA48" s="99"/>
      <c r="AM48" s="89"/>
      <c r="AN48" s="89"/>
      <c r="AO48" s="89"/>
      <c r="AP48" s="89"/>
      <c r="AQ48" s="89"/>
      <c r="AR48" s="89"/>
      <c r="AS48" s="89"/>
      <c r="AT48" s="89"/>
      <c r="AU48" s="89"/>
      <c r="AV48" s="89"/>
      <c r="AW48" s="89"/>
      <c r="AX48" s="89"/>
      <c r="AY48" s="89"/>
    </row>
    <row r="49" spans="1:52" s="11" customFormat="1">
      <c r="A49" s="41" t="s">
        <v>46</v>
      </c>
      <c r="B49" s="42">
        <v>36525</v>
      </c>
      <c r="C49" s="42">
        <v>36891</v>
      </c>
      <c r="D49" s="42">
        <v>37256</v>
      </c>
      <c r="E49" s="42">
        <v>37621</v>
      </c>
      <c r="F49" s="42">
        <v>37986</v>
      </c>
      <c r="G49" s="42">
        <v>38352</v>
      </c>
      <c r="H49" s="42">
        <v>38717</v>
      </c>
      <c r="I49" s="42">
        <v>39082</v>
      </c>
      <c r="J49" s="42">
        <v>39447</v>
      </c>
      <c r="K49" s="42">
        <v>39813</v>
      </c>
      <c r="L49" s="42">
        <v>40178</v>
      </c>
      <c r="M49" s="42">
        <v>40543</v>
      </c>
      <c r="N49" s="42">
        <v>40908</v>
      </c>
      <c r="O49" s="42">
        <v>41274</v>
      </c>
      <c r="P49" s="42">
        <v>41639</v>
      </c>
      <c r="Q49" s="42">
        <v>42004</v>
      </c>
      <c r="R49" s="42">
        <v>42369</v>
      </c>
      <c r="S49" s="42">
        <v>42735</v>
      </c>
      <c r="T49" s="42">
        <v>43100</v>
      </c>
      <c r="U49" s="42">
        <v>43465</v>
      </c>
      <c r="V49" s="42">
        <v>43830</v>
      </c>
      <c r="W49" s="42">
        <v>44196</v>
      </c>
      <c r="X49" s="42">
        <v>44561</v>
      </c>
      <c r="Y49" s="139">
        <v>44926</v>
      </c>
      <c r="Z49" s="42">
        <v>45291</v>
      </c>
      <c r="AA49" s="42">
        <v>45657</v>
      </c>
      <c r="AB49" s="42">
        <v>46022</v>
      </c>
      <c r="AC49" s="42">
        <v>46387</v>
      </c>
      <c r="AD49" s="42">
        <v>46752</v>
      </c>
      <c r="AE49" s="42">
        <v>47118</v>
      </c>
      <c r="AF49" s="42">
        <v>47483</v>
      </c>
      <c r="AG49" s="42">
        <v>47848</v>
      </c>
      <c r="AH49" s="42">
        <v>48213</v>
      </c>
      <c r="AI49" s="42">
        <v>48579</v>
      </c>
      <c r="AJ49" s="42">
        <v>48944</v>
      </c>
      <c r="AK49" s="42">
        <v>49309</v>
      </c>
      <c r="AM49" s="445"/>
      <c r="AN49" s="445"/>
      <c r="AO49" s="445"/>
      <c r="AP49" s="445"/>
      <c r="AQ49" s="445"/>
      <c r="AR49" s="445"/>
      <c r="AS49" s="445"/>
      <c r="AT49" s="445"/>
      <c r="AU49" s="445"/>
      <c r="AV49" s="445"/>
      <c r="AW49" s="445"/>
      <c r="AX49" s="445"/>
      <c r="AY49" s="445"/>
    </row>
    <row r="50" spans="1:52" s="11" customFormat="1">
      <c r="A50" s="88" t="s">
        <v>2</v>
      </c>
      <c r="B50" s="149">
        <f>B6/'Dinámica de la deuda'!B$12*100</f>
        <v>34.596667204996294</v>
      </c>
      <c r="C50" s="149">
        <f>C6/'Dinámica de la deuda'!C$12*100</f>
        <v>37.184502896709567</v>
      </c>
      <c r="D50" s="149">
        <f>D6/'Dinámica de la deuda'!D$12*100</f>
        <v>41.391682239963018</v>
      </c>
      <c r="E50" s="149">
        <f>E6/'Dinámica de la deuda'!E$12*100</f>
        <v>47.204899410649674</v>
      </c>
      <c r="F50" s="149">
        <f>F6/'Dinámica de la deuda'!F$12*100</f>
        <v>46.291026473957494</v>
      </c>
      <c r="G50" s="149">
        <f>G6/'Dinámica de la deuda'!G$12*100</f>
        <v>43.233407576248752</v>
      </c>
      <c r="H50" s="149">
        <f>H6/'Dinámica de la deuda'!H$12*100</f>
        <v>42.665575359016117</v>
      </c>
      <c r="I50" s="149">
        <f>I6/'Dinámica de la deuda'!I$12*100</f>
        <v>40.27494881729308</v>
      </c>
      <c r="J50" s="149">
        <f>J6/'Dinámica de la deuda'!J$12*100</f>
        <v>36.534443452495445</v>
      </c>
      <c r="K50" s="149">
        <f>K6/'Dinámica de la deuda'!K$12*100</f>
        <v>36.058431391747007</v>
      </c>
      <c r="L50" s="149">
        <f>L6/'Dinámica de la deuda'!L$12*100</f>
        <v>37.904102466773352</v>
      </c>
      <c r="M50" s="149">
        <f>M6/'Dinámica de la deuda'!M$12*100</f>
        <v>38.437760277734426</v>
      </c>
      <c r="N50" s="149">
        <f>N6/'Dinámica de la deuda'!N$12*100</f>
        <v>36.285007561086125</v>
      </c>
      <c r="O50" s="149">
        <f>O6/'Dinámica de la deuda'!O$12*100</f>
        <v>34.198177423862738</v>
      </c>
      <c r="P50" s="149">
        <f>P6/'Dinámica de la deuda'!P$12*100</f>
        <v>36.645538733435863</v>
      </c>
      <c r="Q50" s="149">
        <f>Q6/'Dinámica de la deuda'!Q$12*100</f>
        <v>39.899222986321661</v>
      </c>
      <c r="R50" s="149">
        <f>R6/'Dinámica de la deuda'!R$12*100</f>
        <v>44.612536988629323</v>
      </c>
      <c r="S50" s="149">
        <f>S6/'Dinámica de la deuda'!S$12*100</f>
        <v>45.627006873621077</v>
      </c>
      <c r="T50" s="149">
        <f>T6/'Dinámica de la deuda'!T$12*100</f>
        <v>46.379638750023261</v>
      </c>
      <c r="U50" s="149">
        <f>U6/'Dinámica de la deuda'!U$12*100</f>
        <v>49.329171793973863</v>
      </c>
      <c r="V50" s="149">
        <f>V6/'Dinámica de la deuda'!V$12*100</f>
        <v>50.344255691714103</v>
      </c>
      <c r="W50" s="149">
        <f>W6/'Dinámica de la deuda'!W$12*100</f>
        <v>65.082231736177391</v>
      </c>
      <c r="X50" s="149">
        <f>X6/'Dinámica de la deuda'!X$12*100</f>
        <v>62.976712410788259</v>
      </c>
      <c r="Y50" s="150">
        <f>Y6/'Dinámica de la deuda'!Y$12*100</f>
        <v>61.139820003501065</v>
      </c>
      <c r="Z50" s="102" t="e">
        <f>Z6/'Dinámica de la deuda'!Z$12*100</f>
        <v>#DIV/0!</v>
      </c>
      <c r="AA50" s="102" t="e">
        <f>AA6/'Dinámica de la deuda'!AA$12*100</f>
        <v>#DIV/0!</v>
      </c>
      <c r="AB50" s="102" t="e">
        <f>AB6/'Dinámica de la deuda'!AB$12*100</f>
        <v>#DIV/0!</v>
      </c>
      <c r="AC50" s="102" t="e">
        <f>AC6/'Dinámica de la deuda'!AC$12*100</f>
        <v>#DIV/0!</v>
      </c>
      <c r="AD50" s="102" t="e">
        <f>AD6/'Dinámica de la deuda'!AD$12*100</f>
        <v>#DIV/0!</v>
      </c>
      <c r="AE50" s="102" t="e">
        <f>AE6/'Dinámica de la deuda'!AE$12*100</f>
        <v>#DIV/0!</v>
      </c>
      <c r="AF50" s="102" t="e">
        <f>AF6/'Dinámica de la deuda'!AF$12*100</f>
        <v>#DIV/0!</v>
      </c>
      <c r="AG50" s="102" t="e">
        <f>AG6/'Dinámica de la deuda'!AG$12*100</f>
        <v>#DIV/0!</v>
      </c>
      <c r="AH50" s="102" t="e">
        <f>AH6/'Dinámica de la deuda'!AH$12*100</f>
        <v>#DIV/0!</v>
      </c>
      <c r="AI50" s="102" t="e">
        <f>AI6/'Dinámica de la deuda'!AI$12*100</f>
        <v>#DIV/0!</v>
      </c>
      <c r="AJ50" s="102" t="e">
        <f>AJ6/'Dinámica de la deuda'!AJ$12*100</f>
        <v>#DIV/0!</v>
      </c>
      <c r="AK50" s="103" t="e">
        <f>AK6/'Dinámica de la deuda'!AK$12*100</f>
        <v>#DIV/0!</v>
      </c>
      <c r="AL50" s="34"/>
      <c r="AM50" s="34"/>
      <c r="AN50" s="34"/>
      <c r="AO50" s="34"/>
      <c r="AP50" s="34"/>
      <c r="AQ50" s="34"/>
      <c r="AR50" s="34"/>
      <c r="AS50" s="34"/>
      <c r="AT50" s="34"/>
      <c r="AU50" s="34"/>
      <c r="AV50" s="34"/>
      <c r="AW50" s="34"/>
      <c r="AX50" s="34"/>
      <c r="AY50" s="34"/>
    </row>
    <row r="51" spans="1:52">
      <c r="A51" s="90" t="s">
        <v>3</v>
      </c>
      <c r="B51" s="151">
        <f>B7/'Dinámica de la deuda'!B$12*100</f>
        <v>31.558904126573275</v>
      </c>
      <c r="C51" s="151">
        <f>C7/'Dinámica de la deuda'!C$12*100</f>
        <v>35.159425903739105</v>
      </c>
      <c r="D51" s="151">
        <f>D7/'Dinámica de la deuda'!D$12*100</f>
        <v>39.931785054940924</v>
      </c>
      <c r="E51" s="151">
        <f>E7/'Dinámica de la deuda'!E$12*100</f>
        <v>45.477361085827525</v>
      </c>
      <c r="F51" s="151">
        <f>F7/'Dinámica de la deuda'!F$12*100</f>
        <v>45.099356268989048</v>
      </c>
      <c r="G51" s="151">
        <f>G7/'Dinámica de la deuda'!G$12*100</f>
        <v>41.61702659207053</v>
      </c>
      <c r="H51" s="151">
        <f>H7/'Dinámica de la deuda'!H$12*100</f>
        <v>41.380984654688966</v>
      </c>
      <c r="I51" s="151">
        <f>I7/'Dinámica de la deuda'!I$12*100</f>
        <v>39.054804628796759</v>
      </c>
      <c r="J51" s="151">
        <f>J7/'Dinámica de la deuda'!J$12*100</f>
        <v>35.848669562813214</v>
      </c>
      <c r="K51" s="151">
        <f>K7/'Dinámica de la deuda'!K$12*100</f>
        <v>35.363114867709307</v>
      </c>
      <c r="L51" s="151">
        <f>L7/'Dinámica de la deuda'!L$12*100</f>
        <v>36.950513650855399</v>
      </c>
      <c r="M51" s="151">
        <f>M7/'Dinámica de la deuda'!M$12*100</f>
        <v>37.282705216803052</v>
      </c>
      <c r="N51" s="151">
        <f>N7/'Dinámica de la deuda'!N$12*100</f>
        <v>34.682651219327084</v>
      </c>
      <c r="O51" s="151">
        <f>O7/'Dinámica de la deuda'!O$12*100</f>
        <v>32.451183782500628</v>
      </c>
      <c r="P51" s="151">
        <f>P7/'Dinámica de la deuda'!P$12*100</f>
        <v>34.919726978383764</v>
      </c>
      <c r="Q51" s="151">
        <f>Q7/'Dinámica de la deuda'!Q$12*100</f>
        <v>38.555531483904893</v>
      </c>
      <c r="R51" s="151">
        <f>R7/'Dinámica de la deuda'!R$12*100</f>
        <v>43.627303264280364</v>
      </c>
      <c r="S51" s="151">
        <f>S7/'Dinámica de la deuda'!S$12*100</f>
        <v>44.980760031718759</v>
      </c>
      <c r="T51" s="151">
        <f>T7/'Dinámica de la deuda'!T$12*100</f>
        <v>45.966359791259919</v>
      </c>
      <c r="U51" s="151">
        <f>U7/'Dinámica de la deuda'!U$12*100</f>
        <v>49.244471275480315</v>
      </c>
      <c r="V51" s="151">
        <f>V7/'Dinámica de la deuda'!V$12*100</f>
        <v>48.639504647765868</v>
      </c>
      <c r="W51" s="151">
        <f>W7/'Dinámica de la deuda'!W$12*100</f>
        <v>63.504538607970652</v>
      </c>
      <c r="X51" s="151">
        <f>X7/'Dinámica de la deuda'!X$12*100</f>
        <v>61.932471058604087</v>
      </c>
      <c r="Y51" s="152">
        <f>Y7/'Dinámica de la deuda'!Y$12*100</f>
        <v>60.848415292301453</v>
      </c>
      <c r="Z51" s="104" t="e">
        <f>Z7/'Dinámica de la deuda'!Z$12*100</f>
        <v>#DIV/0!</v>
      </c>
      <c r="AA51" s="104" t="e">
        <f>AA7/'Dinámica de la deuda'!AA$12*100</f>
        <v>#DIV/0!</v>
      </c>
      <c r="AB51" s="104" t="e">
        <f>AB7/'Dinámica de la deuda'!AB$12*100</f>
        <v>#DIV/0!</v>
      </c>
      <c r="AC51" s="104" t="e">
        <f>AC7/'Dinámica de la deuda'!AC$12*100</f>
        <v>#DIV/0!</v>
      </c>
      <c r="AD51" s="104" t="e">
        <f>AD7/'Dinámica de la deuda'!AD$12*100</f>
        <v>#DIV/0!</v>
      </c>
      <c r="AE51" s="104" t="e">
        <f>AE7/'Dinámica de la deuda'!AE$12*100</f>
        <v>#DIV/0!</v>
      </c>
      <c r="AF51" s="104" t="e">
        <f>AF7/'Dinámica de la deuda'!AF$12*100</f>
        <v>#DIV/0!</v>
      </c>
      <c r="AG51" s="104" t="e">
        <f>AG7/'Dinámica de la deuda'!AG$12*100</f>
        <v>#DIV/0!</v>
      </c>
      <c r="AH51" s="104" t="e">
        <f>AH7/'Dinámica de la deuda'!AH$12*100</f>
        <v>#DIV/0!</v>
      </c>
      <c r="AI51" s="104" t="e">
        <f>AI7/'Dinámica de la deuda'!AI$12*100</f>
        <v>#DIV/0!</v>
      </c>
      <c r="AJ51" s="104" t="e">
        <f>AJ7/'Dinámica de la deuda'!AJ$12*100</f>
        <v>#DIV/0!</v>
      </c>
      <c r="AK51" s="105" t="e">
        <f>AK7/'Dinámica de la deuda'!AK$12*100</f>
        <v>#DIV/0!</v>
      </c>
      <c r="AL51" s="34"/>
      <c r="AM51" s="34"/>
      <c r="AN51" s="34"/>
      <c r="AO51" s="34"/>
      <c r="AP51" s="34"/>
      <c r="AQ51" s="34"/>
      <c r="AR51" s="34"/>
      <c r="AS51" s="34"/>
      <c r="AT51" s="34"/>
      <c r="AU51" s="34"/>
      <c r="AV51" s="34"/>
      <c r="AW51" s="34"/>
      <c r="AX51" s="34"/>
      <c r="AY51" s="34"/>
    </row>
    <row r="52" spans="1:52">
      <c r="A52" s="91" t="s">
        <v>4</v>
      </c>
      <c r="B52" s="153">
        <f>B8/'Dinámica de la deuda'!B$12*100</f>
        <v>19.657609630702591</v>
      </c>
      <c r="C52" s="153">
        <f>C8/'Dinámica de la deuda'!C$12*100</f>
        <v>21.277495288830668</v>
      </c>
      <c r="D52" s="153">
        <f>D8/'Dinámica de la deuda'!D$12*100</f>
        <v>22.336859449335233</v>
      </c>
      <c r="E52" s="153">
        <f>E8/'Dinámica de la deuda'!E$12*100</f>
        <v>25.488764171187778</v>
      </c>
      <c r="F52" s="153">
        <f>F8/'Dinámica de la deuda'!F$12*100</f>
        <v>25.104328593629848</v>
      </c>
      <c r="G52" s="153">
        <f>G8/'Dinámica de la deuda'!G$12*100</f>
        <v>25.596244155425975</v>
      </c>
      <c r="H52" s="153">
        <f>H8/'Dinámica de la deuda'!H$12*100</f>
        <v>28.573386435557683</v>
      </c>
      <c r="I52" s="153">
        <f>I8/'Dinámica de la deuda'!I$12*100</f>
        <v>26.487619325564516</v>
      </c>
      <c r="J52" s="153">
        <f>J8/'Dinámica de la deuda'!J$12*100</f>
        <v>25.413758486438194</v>
      </c>
      <c r="K52" s="153">
        <f>K8/'Dinámica de la deuda'!K$12*100</f>
        <v>24.602634390130341</v>
      </c>
      <c r="L52" s="153">
        <f>L8/'Dinámica de la deuda'!L$12*100</f>
        <v>26.002683710573432</v>
      </c>
      <c r="M52" s="153">
        <f>M8/'Dinámica de la deuda'!M$12*100</f>
        <v>27.537114226768537</v>
      </c>
      <c r="N52" s="153">
        <f>N8/'Dinámica de la deuda'!N$12*100</f>
        <v>25.949318622075523</v>
      </c>
      <c r="O52" s="153">
        <f>O8/'Dinámica de la deuda'!O$12*100</f>
        <v>25.268162493900675</v>
      </c>
      <c r="P52" s="153">
        <f>P8/'Dinámica de la deuda'!P$12*100</f>
        <v>27.022262265038993</v>
      </c>
      <c r="Q52" s="153">
        <f>Q8/'Dinámica de la deuda'!Q$12*100</f>
        <v>28.132690150156829</v>
      </c>
      <c r="R52" s="153">
        <f>R8/'Dinámica de la deuda'!R$12*100</f>
        <v>28.508181084549399</v>
      </c>
      <c r="S52" s="153">
        <f>S8/'Dinámica de la deuda'!S$12*100</f>
        <v>30.105754125899292</v>
      </c>
      <c r="T52" s="153">
        <f>T8/'Dinámica de la deuda'!T$12*100</f>
        <v>30.892771217546304</v>
      </c>
      <c r="U52" s="153">
        <f>U8/'Dinámica de la deuda'!U$12*100</f>
        <v>32.717323012491107</v>
      </c>
      <c r="V52" s="153">
        <f>V8/'Dinámica de la deuda'!V$12*100</f>
        <v>34.354000937634289</v>
      </c>
      <c r="W52" s="153">
        <f>W8/'Dinámica de la deuda'!W$12*100</f>
        <v>42.055645750691681</v>
      </c>
      <c r="X52" s="153">
        <f>X8/'Dinámica de la deuda'!X$12*100</f>
        <v>38.457993569769222</v>
      </c>
      <c r="Y52" s="154">
        <f>Y8/'Dinámica de la deuda'!Y$12*100</f>
        <v>36.150783005191421</v>
      </c>
      <c r="Z52" s="33">
        <f>Z8/'Dinámica de la deuda'!Z$12*100</f>
        <v>31.608817064063881</v>
      </c>
      <c r="AA52" s="33" t="e">
        <f>AA8/'Dinámica de la deuda'!AA$12*100</f>
        <v>#DIV/0!</v>
      </c>
      <c r="AB52" s="33" t="e">
        <f>AB8/'Dinámica de la deuda'!AB$12*100</f>
        <v>#DIV/0!</v>
      </c>
      <c r="AC52" s="33" t="e">
        <f>AC8/'Dinámica de la deuda'!AC$12*100</f>
        <v>#DIV/0!</v>
      </c>
      <c r="AD52" s="33" t="e">
        <f>AD8/'Dinámica de la deuda'!AD$12*100</f>
        <v>#DIV/0!</v>
      </c>
      <c r="AE52" s="33" t="e">
        <f>AE8/'Dinámica de la deuda'!AE$12*100</f>
        <v>#DIV/0!</v>
      </c>
      <c r="AF52" s="33" t="e">
        <f>AF8/'Dinámica de la deuda'!AF$12*100</f>
        <v>#DIV/0!</v>
      </c>
      <c r="AG52" s="33" t="e">
        <f>AG8/'Dinámica de la deuda'!AG$12*100</f>
        <v>#DIV/0!</v>
      </c>
      <c r="AH52" s="33" t="e">
        <f>AH8/'Dinámica de la deuda'!AH$12*100</f>
        <v>#DIV/0!</v>
      </c>
      <c r="AI52" s="33" t="e">
        <f>AI8/'Dinámica de la deuda'!AI$12*100</f>
        <v>#DIV/0!</v>
      </c>
      <c r="AJ52" s="33" t="e">
        <f>AJ8/'Dinámica de la deuda'!AJ$12*100</f>
        <v>#DIV/0!</v>
      </c>
      <c r="AK52" s="106" t="e">
        <f>AK8/'Dinámica de la deuda'!AK$12*100</f>
        <v>#DIV/0!</v>
      </c>
      <c r="AL52" s="34"/>
      <c r="AM52" s="34"/>
      <c r="AN52" s="34"/>
      <c r="AO52" s="34"/>
      <c r="AP52" s="34"/>
      <c r="AQ52" s="34"/>
      <c r="AR52" s="34"/>
      <c r="AS52" s="34"/>
      <c r="AT52" s="34"/>
      <c r="AU52" s="34"/>
      <c r="AV52" s="34"/>
      <c r="AW52" s="34"/>
      <c r="AX52" s="34"/>
      <c r="AY52" s="34"/>
    </row>
    <row r="53" spans="1:52" s="93" customFormat="1">
      <c r="A53" s="92" t="s">
        <v>5</v>
      </c>
      <c r="B53" s="155">
        <f>B9/'Dinámica de la deuda'!B$12*100</f>
        <v>16.619846552279576</v>
      </c>
      <c r="C53" s="155">
        <f>C9/'Dinámica de la deuda'!C$12*100</f>
        <v>19.252418295860206</v>
      </c>
      <c r="D53" s="155">
        <f>D9/'Dinámica de la deuda'!D$12*100</f>
        <v>20.876962264313146</v>
      </c>
      <c r="E53" s="155">
        <f>E9/'Dinámica de la deuda'!E$12*100</f>
        <v>23.761225846365637</v>
      </c>
      <c r="F53" s="155">
        <f>F9/'Dinámica de la deuda'!F$12*100</f>
        <v>23.912658388661409</v>
      </c>
      <c r="G53" s="155">
        <f>G9/'Dinámica de la deuda'!G$12*100</f>
        <v>23.979863171247747</v>
      </c>
      <c r="H53" s="155">
        <f>H9/'Dinámica de la deuda'!H$12*100</f>
        <v>27.288795731230525</v>
      </c>
      <c r="I53" s="155">
        <f>I9/'Dinámica de la deuda'!I$12*100</f>
        <v>25.267475137068189</v>
      </c>
      <c r="J53" s="155">
        <f>J9/'Dinámica de la deuda'!J$12*100</f>
        <v>24.727984596755963</v>
      </c>
      <c r="K53" s="155">
        <f>K9/'Dinámica de la deuda'!K$12*100</f>
        <v>23.90731786609264</v>
      </c>
      <c r="L53" s="155">
        <f>L9/'Dinámica de la deuda'!L$12*100</f>
        <v>25.049094894655475</v>
      </c>
      <c r="M53" s="155">
        <f>M9/'Dinámica de la deuda'!M$12*100</f>
        <v>26.382059165837173</v>
      </c>
      <c r="N53" s="155">
        <f>N9/'Dinámica de la deuda'!N$12*100</f>
        <v>24.346962280316475</v>
      </c>
      <c r="O53" s="155">
        <f>O9/'Dinámica de la deuda'!O$12*100</f>
        <v>23.521168852538558</v>
      </c>
      <c r="P53" s="155">
        <f>P9/'Dinámica de la deuda'!P$12*100</f>
        <v>25.296450509986894</v>
      </c>
      <c r="Q53" s="155">
        <f>Q9/'Dinámica de la deuda'!Q$12*100</f>
        <v>26.788998647740076</v>
      </c>
      <c r="R53" s="155">
        <f>R9/'Dinámica de la deuda'!R$12*100</f>
        <v>27.522947360200444</v>
      </c>
      <c r="S53" s="155">
        <f>S9/'Dinámica de la deuda'!S$12*100</f>
        <v>29.45950728399697</v>
      </c>
      <c r="T53" s="155">
        <f>T9/'Dinámica de la deuda'!T$12*100</f>
        <v>30.479492258782965</v>
      </c>
      <c r="U53" s="155">
        <f>U9/'Dinámica de la deuda'!U$12*100</f>
        <v>32.632622493997566</v>
      </c>
      <c r="V53" s="155">
        <f>V9/'Dinámica de la deuda'!V$12*100</f>
        <v>32.649249893686061</v>
      </c>
      <c r="W53" s="155">
        <f>W9/'Dinámica de la deuda'!W$12*100</f>
        <v>40.477952622484956</v>
      </c>
      <c r="X53" s="155">
        <f>X9/'Dinámica de la deuda'!X$12*100</f>
        <v>37.413752217585042</v>
      </c>
      <c r="Y53" s="156">
        <f>Y9/'Dinámica de la deuda'!Y$12*100</f>
        <v>35.859378293991803</v>
      </c>
      <c r="Z53" s="107">
        <f>Z9/'Dinámica de la deuda'!Z$12*100</f>
        <v>31.608817064063881</v>
      </c>
      <c r="AA53" s="107" t="e">
        <f>AA9/'Dinámica de la deuda'!AA$12*100</f>
        <v>#DIV/0!</v>
      </c>
      <c r="AB53" s="107" t="e">
        <f>AB9/'Dinámica de la deuda'!AB$12*100</f>
        <v>#DIV/0!</v>
      </c>
      <c r="AC53" s="107" t="e">
        <f>AC9/'Dinámica de la deuda'!AC$12*100</f>
        <v>#DIV/0!</v>
      </c>
      <c r="AD53" s="107" t="e">
        <f>AD9/'Dinámica de la deuda'!AD$12*100</f>
        <v>#DIV/0!</v>
      </c>
      <c r="AE53" s="107" t="e">
        <f>AE9/'Dinámica de la deuda'!AE$12*100</f>
        <v>#DIV/0!</v>
      </c>
      <c r="AF53" s="107" t="e">
        <f>AF9/'Dinámica de la deuda'!AF$12*100</f>
        <v>#DIV/0!</v>
      </c>
      <c r="AG53" s="107" t="e">
        <f>AG9/'Dinámica de la deuda'!AG$12*100</f>
        <v>#DIV/0!</v>
      </c>
      <c r="AH53" s="107" t="e">
        <f>AH9/'Dinámica de la deuda'!AH$12*100</f>
        <v>#DIV/0!</v>
      </c>
      <c r="AI53" s="107" t="e">
        <f>AI9/'Dinámica de la deuda'!AI$12*100</f>
        <v>#DIV/0!</v>
      </c>
      <c r="AJ53" s="107" t="e">
        <f>AJ9/'Dinámica de la deuda'!AJ$12*100</f>
        <v>#DIV/0!</v>
      </c>
      <c r="AK53" s="108" t="e">
        <f>AK9/'Dinámica de la deuda'!AK$12*100</f>
        <v>#DIV/0!</v>
      </c>
      <c r="AL53" s="34"/>
      <c r="AM53" s="34"/>
      <c r="AN53" s="34"/>
      <c r="AO53" s="34"/>
      <c r="AP53" s="34"/>
      <c r="AQ53" s="34"/>
      <c r="AR53" s="34"/>
      <c r="AS53" s="34"/>
      <c r="AT53" s="34"/>
      <c r="AU53" s="34"/>
      <c r="AV53" s="34"/>
      <c r="AW53" s="34"/>
      <c r="AX53" s="34"/>
      <c r="AY53" s="34"/>
    </row>
    <row r="54" spans="1:52">
      <c r="A54" s="91" t="s">
        <v>6</v>
      </c>
      <c r="B54" s="153">
        <f>B10/'Dinámica de la deuda'!B$12*100</f>
        <v>14.939057574293699</v>
      </c>
      <c r="C54" s="153">
        <f>C10/'Dinámica de la deuda'!C$12*100</f>
        <v>15.907007607878901</v>
      </c>
      <c r="D54" s="153">
        <f>D10/'Dinámica de la deuda'!D$12*100</f>
        <v>19.054822790627782</v>
      </c>
      <c r="E54" s="153">
        <f>E10/'Dinámica de la deuda'!E$12*100</f>
        <v>21.716135239461895</v>
      </c>
      <c r="F54" s="153">
        <f>F10/'Dinámica de la deuda'!F$12*100</f>
        <v>21.186697880327646</v>
      </c>
      <c r="G54" s="153">
        <f>G10/'Dinámica de la deuda'!G$12*100</f>
        <v>17.63716342082278</v>
      </c>
      <c r="H54" s="153">
        <f>H10/'Dinámica de la deuda'!H$12*100</f>
        <v>14.092188923458432</v>
      </c>
      <c r="I54" s="153">
        <f>I10/'Dinámica de la deuda'!I$12*100</f>
        <v>13.787329491728565</v>
      </c>
      <c r="J54" s="153">
        <f>J10/'Dinámica de la deuda'!J$12*100</f>
        <v>11.120684966057254</v>
      </c>
      <c r="K54" s="153">
        <f>K10/'Dinámica de la deuda'!K$12*100</f>
        <v>11.455797001616668</v>
      </c>
      <c r="L54" s="153">
        <f>L10/'Dinámica de la deuda'!L$12*100</f>
        <v>11.901418756199922</v>
      </c>
      <c r="M54" s="153">
        <f>M10/'Dinámica de la deuda'!M$12*100</f>
        <v>10.900646050965882</v>
      </c>
      <c r="N54" s="153">
        <f>N10/'Dinámica de la deuda'!N$12*100</f>
        <v>10.335688939010602</v>
      </c>
      <c r="O54" s="153">
        <f>O10/'Dinámica de la deuda'!O$12*100</f>
        <v>8.9300149299620664</v>
      </c>
      <c r="P54" s="153">
        <f>P10/'Dinámica de la deuda'!P$12*100</f>
        <v>9.6232764683968668</v>
      </c>
      <c r="Q54" s="153">
        <f>Q10/'Dinámica de la deuda'!Q$12*100</f>
        <v>11.766532836164822</v>
      </c>
      <c r="R54" s="153">
        <f>R10/'Dinámica de la deuda'!R$12*100</f>
        <v>16.104355904079924</v>
      </c>
      <c r="S54" s="153">
        <f>S10/'Dinámica de la deuda'!S$12*100</f>
        <v>15.521252747721784</v>
      </c>
      <c r="T54" s="153">
        <f>T10/'Dinámica de la deuda'!T$12*100</f>
        <v>15.486867532476955</v>
      </c>
      <c r="U54" s="153">
        <f>U10/'Dinámica de la deuda'!U$12*100</f>
        <v>16.611848781482756</v>
      </c>
      <c r="V54" s="153">
        <f>V10/'Dinámica de la deuda'!V$12*100</f>
        <v>15.990254754079809</v>
      </c>
      <c r="W54" s="153">
        <f>W10/'Dinámica de la deuda'!W$12*100</f>
        <v>23.026585985485692</v>
      </c>
      <c r="X54" s="153">
        <f>X10/'Dinámica de la deuda'!X$12*100</f>
        <v>24.518718841019041</v>
      </c>
      <c r="Y54" s="154">
        <f>Y10/'Dinámica de la deuda'!Y$12*100</f>
        <v>24.989036998309643</v>
      </c>
      <c r="Z54" s="33" t="e">
        <f>Z10/'Dinámica de la deuda'!Z$12*100</f>
        <v>#DIV/0!</v>
      </c>
      <c r="AA54" s="33" t="e">
        <f>AA10/'Dinámica de la deuda'!AA$12*100</f>
        <v>#DIV/0!</v>
      </c>
      <c r="AB54" s="33" t="e">
        <f>AB10/'Dinámica de la deuda'!AB$12*100</f>
        <v>#DIV/0!</v>
      </c>
      <c r="AC54" s="33" t="e">
        <f>AC10/'Dinámica de la deuda'!AC$12*100</f>
        <v>#DIV/0!</v>
      </c>
      <c r="AD54" s="33" t="e">
        <f>AD10/'Dinámica de la deuda'!AD$12*100</f>
        <v>#DIV/0!</v>
      </c>
      <c r="AE54" s="33" t="e">
        <f>AE10/'Dinámica de la deuda'!AE$12*100</f>
        <v>#DIV/0!</v>
      </c>
      <c r="AF54" s="33" t="e">
        <f>AF10/'Dinámica de la deuda'!AF$12*100</f>
        <v>#DIV/0!</v>
      </c>
      <c r="AG54" s="33" t="e">
        <f>AG10/'Dinámica de la deuda'!AG$12*100</f>
        <v>#DIV/0!</v>
      </c>
      <c r="AH54" s="33" t="e">
        <f>AH10/'Dinámica de la deuda'!AH$12*100</f>
        <v>#DIV/0!</v>
      </c>
      <c r="AI54" s="33" t="e">
        <f>AI10/'Dinámica de la deuda'!AI$12*100</f>
        <v>#DIV/0!</v>
      </c>
      <c r="AJ54" s="33" t="e">
        <f>AJ10/'Dinámica de la deuda'!AJ$12*100</f>
        <v>#DIV/0!</v>
      </c>
      <c r="AK54" s="106" t="e">
        <f>AK10/'Dinámica de la deuda'!AK$12*100</f>
        <v>#DIV/0!</v>
      </c>
      <c r="AL54" s="34"/>
      <c r="AM54" s="34"/>
      <c r="AN54" s="34"/>
      <c r="AO54" s="34"/>
      <c r="AP54" s="34"/>
      <c r="AQ54" s="34"/>
      <c r="AR54" s="34"/>
      <c r="AS54" s="34"/>
      <c r="AT54" s="34"/>
      <c r="AU54" s="34"/>
      <c r="AV54" s="34"/>
      <c r="AW54" s="34"/>
      <c r="AX54" s="34"/>
      <c r="AY54" s="34"/>
    </row>
    <row r="55" spans="1:52" s="11" customFormat="1">
      <c r="A55" s="94" t="s">
        <v>7</v>
      </c>
      <c r="B55" s="112">
        <f>B11/'Dinámica de la deuda'!B$12*100</f>
        <v>31.488234119337761</v>
      </c>
      <c r="C55" s="112">
        <f>C11/'Dinámica de la deuda'!C$12*100</f>
        <v>34.464624153703824</v>
      </c>
      <c r="D55" s="112">
        <f>D11/'Dinámica de la deuda'!D$12*100</f>
        <v>39.247919017955965</v>
      </c>
      <c r="E55" s="112">
        <f>E11/'Dinámica de la deuda'!E$12*100</f>
        <v>44.200250064079114</v>
      </c>
      <c r="F55" s="112">
        <f>F11/'Dinámica de la deuda'!F$12*100</f>
        <v>43.916932325555599</v>
      </c>
      <c r="G55" s="112">
        <f>G11/'Dinámica de la deuda'!G$12*100</f>
        <v>40.324361927855193</v>
      </c>
      <c r="H55" s="112">
        <f>H11/'Dinámica de la deuda'!H$12*100</f>
        <v>40.265757318747809</v>
      </c>
      <c r="I55" s="112">
        <f>I11/'Dinámica de la deuda'!I$12*100</f>
        <v>38.524647712202594</v>
      </c>
      <c r="J55" s="112">
        <f>J11/'Dinámica de la deuda'!J$12*100</f>
        <v>34.2386571009107</v>
      </c>
      <c r="K55" s="112">
        <f>K11/'Dinámica de la deuda'!K$12*100</f>
        <v>34.268261070336706</v>
      </c>
      <c r="L55" s="112">
        <f>L11/'Dinámica de la deuda'!L$12*100</f>
        <v>35.732962090721891</v>
      </c>
      <c r="M55" s="112">
        <f>M11/'Dinámica de la deuda'!M$12*100</f>
        <v>35.81003151491857</v>
      </c>
      <c r="N55" s="112">
        <f>N11/'Dinámica de la deuda'!N$12*100</f>
        <v>34.335201350758354</v>
      </c>
      <c r="O55" s="112">
        <f>O11/'Dinámica de la deuda'!O$12*100</f>
        <v>31.885378037439537</v>
      </c>
      <c r="P55" s="112">
        <f>P11/'Dinámica de la deuda'!P$12*100</f>
        <v>34.042572754301041</v>
      </c>
      <c r="Q55" s="112">
        <f>Q11/'Dinámica de la deuda'!Q$12*100</f>
        <v>37.222286445578931</v>
      </c>
      <c r="R55" s="112">
        <f>R11/'Dinámica de la deuda'!R$12*100</f>
        <v>40.939031879728809</v>
      </c>
      <c r="S55" s="112">
        <f>S11/'Dinámica de la deuda'!S$12*100</f>
        <v>42.221228220250033</v>
      </c>
      <c r="T55" s="112">
        <f>T11/'Dinámica de la deuda'!T$12*100</f>
        <v>43.230520996096409</v>
      </c>
      <c r="U55" s="112">
        <f>U11/'Dinámica de la deuda'!U$12*100</f>
        <v>46.352133097608075</v>
      </c>
      <c r="V55" s="112">
        <f>V11/'Dinámica de la deuda'!V$12*100</f>
        <v>45.49512549971471</v>
      </c>
      <c r="W55" s="112">
        <f>W11/'Dinámica de la deuda'!W$12*100</f>
        <v>59.342533391329511</v>
      </c>
      <c r="X55" s="112">
        <f>X11/'Dinámica de la deuda'!X$12*100</f>
        <v>58.856044405153682</v>
      </c>
      <c r="Y55" s="141">
        <f>Y11/'Dinámica de la deuda'!Y$12*100</f>
        <v>56.597854062373528</v>
      </c>
      <c r="Z55" s="109" t="e">
        <f>Z11/'Dinámica de la deuda'!Z$12*100</f>
        <v>#DIV/0!</v>
      </c>
      <c r="AA55" s="109" t="e">
        <f>AA11/'Dinámica de la deuda'!AA$12*100</f>
        <v>#DIV/0!</v>
      </c>
      <c r="AB55" s="109" t="e">
        <f>AB11/'Dinámica de la deuda'!AB$12*100</f>
        <v>#DIV/0!</v>
      </c>
      <c r="AC55" s="109" t="e">
        <f>AC11/'Dinámica de la deuda'!AC$12*100</f>
        <v>#DIV/0!</v>
      </c>
      <c r="AD55" s="109" t="e">
        <f>AD11/'Dinámica de la deuda'!AD$12*100</f>
        <v>#DIV/0!</v>
      </c>
      <c r="AE55" s="109" t="e">
        <f>AE11/'Dinámica de la deuda'!AE$12*100</f>
        <v>#DIV/0!</v>
      </c>
      <c r="AF55" s="109" t="e">
        <f>AF11/'Dinámica de la deuda'!AF$12*100</f>
        <v>#DIV/0!</v>
      </c>
      <c r="AG55" s="109" t="e">
        <f>AG11/'Dinámica de la deuda'!AG$12*100</f>
        <v>#DIV/0!</v>
      </c>
      <c r="AH55" s="109" t="e">
        <f>AH11/'Dinámica de la deuda'!AH$12*100</f>
        <v>#DIV/0!</v>
      </c>
      <c r="AI55" s="109" t="e">
        <f>AI11/'Dinámica de la deuda'!AI$12*100</f>
        <v>#DIV/0!</v>
      </c>
      <c r="AJ55" s="109" t="e">
        <f>AJ11/'Dinámica de la deuda'!AJ$12*100</f>
        <v>#DIV/0!</v>
      </c>
      <c r="AK55" s="110" t="e">
        <f>AK11/'Dinámica de la deuda'!AK$12*100</f>
        <v>#DIV/0!</v>
      </c>
      <c r="AL55" s="34"/>
      <c r="AM55" s="34"/>
      <c r="AN55" s="34"/>
      <c r="AO55" s="34"/>
      <c r="AP55" s="34"/>
      <c r="AQ55" s="34"/>
      <c r="AR55" s="34"/>
      <c r="AS55" s="34"/>
      <c r="AT55" s="34"/>
      <c r="AU55" s="34"/>
      <c r="AV55" s="34"/>
      <c r="AW55" s="34"/>
      <c r="AX55" s="34"/>
      <c r="AY55" s="34"/>
    </row>
    <row r="56" spans="1:52">
      <c r="A56" s="91" t="s">
        <v>8</v>
      </c>
      <c r="B56" s="111">
        <f>B12/'Dinámica de la deuda'!B$12*100</f>
        <v>16.549176545044062</v>
      </c>
      <c r="C56" s="111">
        <f>C12/'Dinámica de la deuda'!C$12*100</f>
        <v>18.557616545824924</v>
      </c>
      <c r="D56" s="111">
        <f>D12/'Dinámica de la deuda'!D$12*100</f>
        <v>20.193096227328191</v>
      </c>
      <c r="E56" s="111">
        <f>E12/'Dinámica de la deuda'!E$12*100</f>
        <v>22.484114824617215</v>
      </c>
      <c r="F56" s="111">
        <f>F12/'Dinámica de la deuda'!F$12*100</f>
        <v>22.730234445227953</v>
      </c>
      <c r="G56" s="111">
        <f>G12/'Dinámica de la deuda'!G$12*100</f>
        <v>22.687198507032413</v>
      </c>
      <c r="H56" s="111">
        <f>H12/'Dinámica de la deuda'!H$12*100</f>
        <v>26.173568395289372</v>
      </c>
      <c r="I56" s="111">
        <f>I12/'Dinámica de la deuda'!I$12*100</f>
        <v>24.737318220474023</v>
      </c>
      <c r="J56" s="111">
        <f>J12/'Dinámica de la deuda'!J$12*100</f>
        <v>23.117972134853442</v>
      </c>
      <c r="K56" s="111">
        <f>K12/'Dinámica de la deuda'!K$12*100</f>
        <v>22.812464068720043</v>
      </c>
      <c r="L56" s="111">
        <f>L12/'Dinámica de la deuda'!L$12*100</f>
        <v>23.831543334521974</v>
      </c>
      <c r="M56" s="111">
        <f>M12/'Dinámica de la deuda'!M$12*100</f>
        <v>24.909385463952692</v>
      </c>
      <c r="N56" s="111">
        <f>N12/'Dinámica de la deuda'!N$12*100</f>
        <v>23.999512411747752</v>
      </c>
      <c r="O56" s="111">
        <f>O12/'Dinámica de la deuda'!O$12*100</f>
        <v>22.955363107477471</v>
      </c>
      <c r="P56" s="111">
        <f>P12/'Dinámica de la deuda'!P$12*100</f>
        <v>24.419296285904174</v>
      </c>
      <c r="Q56" s="111">
        <f>Q12/'Dinámica de la deuda'!Q$12*100</f>
        <v>25.45575360941411</v>
      </c>
      <c r="R56" s="111">
        <f>R12/'Dinámica de la deuda'!R$12*100</f>
        <v>24.834675975648892</v>
      </c>
      <c r="S56" s="111">
        <f>S12/'Dinámica de la deuda'!S$12*100</f>
        <v>26.699975472528248</v>
      </c>
      <c r="T56" s="111">
        <f>T12/'Dinámica de la deuda'!T$12*100</f>
        <v>27.743653463619449</v>
      </c>
      <c r="U56" s="111">
        <f>U12/'Dinámica de la deuda'!U$12*100</f>
        <v>29.740284316125319</v>
      </c>
      <c r="V56" s="111">
        <f>V12/'Dinámica de la deuda'!V$12*100</f>
        <v>29.504870745634904</v>
      </c>
      <c r="W56" s="111">
        <f>W12/'Dinámica de la deuda'!W$12*100</f>
        <v>36.315947405843815</v>
      </c>
      <c r="X56" s="111">
        <f>X12/'Dinámica de la deuda'!X$12*100</f>
        <v>34.337325564134645</v>
      </c>
      <c r="Y56" s="140">
        <f>Y12/'Dinámica de la deuda'!Y$12*100</f>
        <v>31.608817064063881</v>
      </c>
      <c r="Z56" s="33">
        <f>Z12/'Dinámica de la deuda'!Z$12*100</f>
        <v>31.608817064063881</v>
      </c>
      <c r="AA56" s="33" t="e">
        <f>AA12/'Dinámica de la deuda'!AA$12*100</f>
        <v>#DIV/0!</v>
      </c>
      <c r="AB56" s="33" t="e">
        <f>AB12/'Dinámica de la deuda'!AB$12*100</f>
        <v>#DIV/0!</v>
      </c>
      <c r="AC56" s="33" t="e">
        <f>AC12/'Dinámica de la deuda'!AC$12*100</f>
        <v>#DIV/0!</v>
      </c>
      <c r="AD56" s="33" t="e">
        <f>AD12/'Dinámica de la deuda'!AD$12*100</f>
        <v>#DIV/0!</v>
      </c>
      <c r="AE56" s="33" t="e">
        <f>AE12/'Dinámica de la deuda'!AE$12*100</f>
        <v>#DIV/0!</v>
      </c>
      <c r="AF56" s="33" t="e">
        <f>AF12/'Dinámica de la deuda'!AF$12*100</f>
        <v>#DIV/0!</v>
      </c>
      <c r="AG56" s="33" t="e">
        <f>AG12/'Dinámica de la deuda'!AG$12*100</f>
        <v>#DIV/0!</v>
      </c>
      <c r="AH56" s="33" t="e">
        <f>AH12/'Dinámica de la deuda'!AH$12*100</f>
        <v>#DIV/0!</v>
      </c>
      <c r="AI56" s="33" t="e">
        <f>AI12/'Dinámica de la deuda'!AI$12*100</f>
        <v>#DIV/0!</v>
      </c>
      <c r="AJ56" s="33" t="e">
        <f>AJ12/'Dinámica de la deuda'!AJ$12*100</f>
        <v>#DIV/0!</v>
      </c>
      <c r="AK56" s="106" t="e">
        <f>AK12/'Dinámica de la deuda'!AK$12*100</f>
        <v>#DIV/0!</v>
      </c>
      <c r="AL56" s="34"/>
      <c r="AM56" s="34"/>
      <c r="AN56" s="34"/>
      <c r="AO56" s="34"/>
      <c r="AP56" s="34"/>
      <c r="AQ56" s="34"/>
      <c r="AR56" s="34"/>
      <c r="AS56" s="34"/>
      <c r="AT56" s="34"/>
      <c r="AU56" s="34"/>
      <c r="AV56" s="34"/>
      <c r="AW56" s="34"/>
      <c r="AX56" s="34"/>
      <c r="AY56" s="34"/>
    </row>
    <row r="57" spans="1:52">
      <c r="A57" s="91" t="s">
        <v>9</v>
      </c>
      <c r="B57" s="111">
        <f>B13/'Dinámica de la deuda'!B$12*100</f>
        <v>14.939057574293699</v>
      </c>
      <c r="C57" s="111">
        <f>C13/'Dinámica de la deuda'!C$12*100</f>
        <v>15.907007607878901</v>
      </c>
      <c r="D57" s="111">
        <f>D13/'Dinámica de la deuda'!D$12*100</f>
        <v>19.054822790627782</v>
      </c>
      <c r="E57" s="111">
        <f>E13/'Dinámica de la deuda'!E$12*100</f>
        <v>21.716135239461895</v>
      </c>
      <c r="F57" s="111">
        <f>F13/'Dinámica de la deuda'!F$12*100</f>
        <v>21.186697880327646</v>
      </c>
      <c r="G57" s="111">
        <f>G13/'Dinámica de la deuda'!G$12*100</f>
        <v>17.63716342082278</v>
      </c>
      <c r="H57" s="111">
        <f>H13/'Dinámica de la deuda'!H$12*100</f>
        <v>14.092188923458432</v>
      </c>
      <c r="I57" s="111">
        <f>I13/'Dinámica de la deuda'!I$12*100</f>
        <v>13.787329491728565</v>
      </c>
      <c r="J57" s="111">
        <f>J13/'Dinámica de la deuda'!J$12*100</f>
        <v>11.120684966057254</v>
      </c>
      <c r="K57" s="111">
        <f>K13/'Dinámica de la deuda'!K$12*100</f>
        <v>11.455797001616668</v>
      </c>
      <c r="L57" s="111">
        <f>L13/'Dinámica de la deuda'!L$12*100</f>
        <v>11.901418756199922</v>
      </c>
      <c r="M57" s="111">
        <f>M13/'Dinámica de la deuda'!M$12*100</f>
        <v>10.900646050965882</v>
      </c>
      <c r="N57" s="111">
        <f>N13/'Dinámica de la deuda'!N$12*100</f>
        <v>10.335688939010602</v>
      </c>
      <c r="O57" s="111">
        <f>O13/'Dinámica de la deuda'!O$12*100</f>
        <v>8.9300149299620664</v>
      </c>
      <c r="P57" s="111">
        <f>P13/'Dinámica de la deuda'!P$12*100</f>
        <v>9.6232764683968668</v>
      </c>
      <c r="Q57" s="111">
        <f>Q13/'Dinámica de la deuda'!Q$12*100</f>
        <v>11.766532836164822</v>
      </c>
      <c r="R57" s="111">
        <f>R13/'Dinámica de la deuda'!R$12*100</f>
        <v>16.104355904079924</v>
      </c>
      <c r="S57" s="111">
        <f>S13/'Dinámica de la deuda'!S$12*100</f>
        <v>15.521252747721784</v>
      </c>
      <c r="T57" s="111">
        <f>T13/'Dinámica de la deuda'!T$12*100</f>
        <v>15.486867532476955</v>
      </c>
      <c r="U57" s="111">
        <f>U13/'Dinámica de la deuda'!U$12*100</f>
        <v>16.611848781482756</v>
      </c>
      <c r="V57" s="111">
        <f>V13/'Dinámica de la deuda'!V$12*100</f>
        <v>15.990254754079809</v>
      </c>
      <c r="W57" s="111">
        <f>W13/'Dinámica de la deuda'!W$12*100</f>
        <v>23.026585985485692</v>
      </c>
      <c r="X57" s="111">
        <f>X13/'Dinámica de la deuda'!X$12*100</f>
        <v>24.518718841019041</v>
      </c>
      <c r="Y57" s="140">
        <f>Y13/'Dinámica de la deuda'!Y$12*100</f>
        <v>24.989036998309643</v>
      </c>
      <c r="Z57" s="33" t="e">
        <f>Z13/'Dinámica de la deuda'!Z$12*100</f>
        <v>#DIV/0!</v>
      </c>
      <c r="AA57" s="33" t="e">
        <f>AA13/'Dinámica de la deuda'!AA$12*100</f>
        <v>#DIV/0!</v>
      </c>
      <c r="AB57" s="33" t="e">
        <f>AB13/'Dinámica de la deuda'!AB$12*100</f>
        <v>#DIV/0!</v>
      </c>
      <c r="AC57" s="33" t="e">
        <f>AC13/'Dinámica de la deuda'!AC$12*100</f>
        <v>#DIV/0!</v>
      </c>
      <c r="AD57" s="33" t="e">
        <f>AD13/'Dinámica de la deuda'!AD$12*100</f>
        <v>#DIV/0!</v>
      </c>
      <c r="AE57" s="33" t="e">
        <f>AE13/'Dinámica de la deuda'!AE$12*100</f>
        <v>#DIV/0!</v>
      </c>
      <c r="AF57" s="33" t="e">
        <f>AF13/'Dinámica de la deuda'!AF$12*100</f>
        <v>#DIV/0!</v>
      </c>
      <c r="AG57" s="33" t="e">
        <f>AG13/'Dinámica de la deuda'!AG$12*100</f>
        <v>#DIV/0!</v>
      </c>
      <c r="AH57" s="33" t="e">
        <f>AH13/'Dinámica de la deuda'!AH$12*100</f>
        <v>#DIV/0!</v>
      </c>
      <c r="AI57" s="33" t="e">
        <f>AI13/'Dinámica de la deuda'!AI$12*100</f>
        <v>#DIV/0!</v>
      </c>
      <c r="AJ57" s="33" t="e">
        <f>AJ13/'Dinámica de la deuda'!AJ$12*100</f>
        <v>#DIV/0!</v>
      </c>
      <c r="AK57" s="106" t="e">
        <f>AK13/'Dinámica de la deuda'!AK$12*100</f>
        <v>#DIV/0!</v>
      </c>
      <c r="AL57" s="34"/>
      <c r="AM57" s="34"/>
      <c r="AN57" s="34"/>
      <c r="AO57" s="34"/>
      <c r="AP57" s="34"/>
      <c r="AQ57" s="34"/>
      <c r="AR57" s="34"/>
      <c r="AS57" s="34"/>
      <c r="AT57" s="34"/>
      <c r="AU57" s="34"/>
      <c r="AV57" s="34"/>
      <c r="AW57" s="34"/>
      <c r="AX57" s="34"/>
      <c r="AY57" s="34"/>
    </row>
    <row r="58" spans="1:52" s="11" customFormat="1">
      <c r="A58" s="94" t="s">
        <v>10</v>
      </c>
      <c r="B58" s="112">
        <f>B14/'Dinámica de la deuda'!B$12*100</f>
        <v>7.0670007235509286E-2</v>
      </c>
      <c r="C58" s="112">
        <f>C14/'Dinámica de la deuda'!C$12*100</f>
        <v>0.69480175003528355</v>
      </c>
      <c r="D58" s="112">
        <f>D14/'Dinámica de la deuda'!D$12*100</f>
        <v>0.68386603698495696</v>
      </c>
      <c r="E58" s="112">
        <f>E14/'Dinámica de la deuda'!E$12*100</f>
        <v>1.2771110217484216</v>
      </c>
      <c r="F58" s="112">
        <f>F14/'Dinámica de la deuda'!F$12*100</f>
        <v>1.182423943433456</v>
      </c>
      <c r="G58" s="112">
        <f>G14/'Dinámica de la deuda'!G$12*100</f>
        <v>1.2926646642153321</v>
      </c>
      <c r="H58" s="112">
        <f>H14/'Dinámica de la deuda'!H$12*100</f>
        <v>1.1152273359411524</v>
      </c>
      <c r="I58" s="112">
        <f>I14/'Dinámica de la deuda'!I$12*100</f>
        <v>0.53015691659416564</v>
      </c>
      <c r="J58" s="112">
        <f>J14/'Dinámica de la deuda'!J$12*100</f>
        <v>1.6100124619025171</v>
      </c>
      <c r="K58" s="112">
        <f>K14/'Dinámica de la deuda'!K$12*100</f>
        <v>1.0948537973725974</v>
      </c>
      <c r="L58" s="112">
        <f>L14/'Dinámica de la deuda'!L$12*100</f>
        <v>1.2175515601335016</v>
      </c>
      <c r="M58" s="112">
        <f>M14/'Dinámica de la deuda'!M$12*100</f>
        <v>1.4726737018844822</v>
      </c>
      <c r="N58" s="112">
        <f>N14/'Dinámica de la deuda'!N$12*100</f>
        <v>0.34744986856872573</v>
      </c>
      <c r="O58" s="112">
        <f>O14/'Dinámica de la deuda'!O$12*100</f>
        <v>0.56580574506108927</v>
      </c>
      <c r="P58" s="112">
        <f>P14/'Dinámica de la deuda'!P$12*100</f>
        <v>0.87715422408271915</v>
      </c>
      <c r="Q58" s="112">
        <f>Q14/'Dinámica de la deuda'!Q$12*100</f>
        <v>0.77283607437195689</v>
      </c>
      <c r="R58" s="112">
        <f>R14/'Dinámica de la deuda'!R$12*100</f>
        <v>1.4622512666069201</v>
      </c>
      <c r="S58" s="112">
        <f>S14/'Dinámica de la deuda'!S$12*100</f>
        <v>1.4339300447275776</v>
      </c>
      <c r="T58" s="112">
        <f>T14/'Dinámica de la deuda'!T$12*100</f>
        <v>1.5167781875670794</v>
      </c>
      <c r="U58" s="112">
        <f>U14/'Dinámica de la deuda'!U$12*100</f>
        <v>1.6363509605210012</v>
      </c>
      <c r="V58" s="112">
        <f>V14/'Dinámica de la deuda'!V$12*100</f>
        <v>1.747735407932604</v>
      </c>
      <c r="W58" s="112">
        <f>W14/'Dinámica de la deuda'!W$12*100</f>
        <v>2.7568761984088122</v>
      </c>
      <c r="X58" s="112">
        <f>X14/'Dinámica de la deuda'!X$12*100</f>
        <v>1.8790963072104643</v>
      </c>
      <c r="Y58" s="141">
        <f>Y14/'Dinámica de la deuda'!Y$12*100</f>
        <v>3.0760799625958639</v>
      </c>
      <c r="Z58" s="109">
        <f>Z14/'Dinámica de la deuda'!Z$12*100</f>
        <v>0</v>
      </c>
      <c r="AA58" s="109">
        <f>AA14/'Dinámica de la deuda'!AA$12*100</f>
        <v>0</v>
      </c>
      <c r="AB58" s="109">
        <f>AB14/'Dinámica de la deuda'!AB$12*100</f>
        <v>0</v>
      </c>
      <c r="AC58" s="109">
        <f>AC14/'Dinámica de la deuda'!AC$12*100</f>
        <v>0</v>
      </c>
      <c r="AD58" s="109">
        <f>AD14/'Dinámica de la deuda'!AD$12*100</f>
        <v>0</v>
      </c>
      <c r="AE58" s="109">
        <f>AE14/'Dinámica de la deuda'!AE$12*100</f>
        <v>0</v>
      </c>
      <c r="AF58" s="109">
        <f>AF14/'Dinámica de la deuda'!AF$12*100</f>
        <v>0</v>
      </c>
      <c r="AG58" s="109">
        <f>AG14/'Dinámica de la deuda'!AG$12*100</f>
        <v>0</v>
      </c>
      <c r="AH58" s="109">
        <f>AH14/'Dinámica de la deuda'!AH$12*100</f>
        <v>0</v>
      </c>
      <c r="AI58" s="109">
        <f>AI14/'Dinámica de la deuda'!AI$12*100</f>
        <v>0</v>
      </c>
      <c r="AJ58" s="109">
        <f>AJ14/'Dinámica de la deuda'!AJ$12*100</f>
        <v>0</v>
      </c>
      <c r="AK58" s="110">
        <f>AK14/'Dinámica de la deuda'!AK$12*100</f>
        <v>0</v>
      </c>
      <c r="AL58" s="34"/>
      <c r="AM58" s="34"/>
      <c r="AN58" s="34"/>
      <c r="AO58" s="34"/>
      <c r="AP58" s="34"/>
      <c r="AQ58" s="34"/>
      <c r="AR58" s="34"/>
      <c r="AS58" s="34"/>
      <c r="AT58" s="34"/>
      <c r="AU58" s="34"/>
      <c r="AV58" s="34"/>
      <c r="AW58" s="34"/>
      <c r="AX58" s="34"/>
      <c r="AY58" s="34"/>
      <c r="AZ58" s="34"/>
    </row>
    <row r="59" spans="1:52" s="11" customFormat="1">
      <c r="A59" s="94" t="s">
        <v>11</v>
      </c>
      <c r="B59" s="112">
        <f>B15/'Dinámica de la deuda'!B$12*100</f>
        <v>3.0377630784230178</v>
      </c>
      <c r="C59" s="112">
        <f>C15/'Dinámica de la deuda'!C$12*100</f>
        <v>2.0250769929704613</v>
      </c>
      <c r="D59" s="112">
        <f>D15/'Dinámica de la deuda'!D$12*100</f>
        <v>1.4598971850220885</v>
      </c>
      <c r="E59" s="112">
        <f>E15/'Dinámica de la deuda'!E$12*100</f>
        <v>1.7275383248221434</v>
      </c>
      <c r="F59" s="112">
        <f>F15/'Dinámica de la deuda'!F$12*100</f>
        <v>1.1916702049684398</v>
      </c>
      <c r="G59" s="112">
        <f>G15/'Dinámica de la deuda'!G$12*100</f>
        <v>1.616380984178226</v>
      </c>
      <c r="H59" s="112">
        <f>H15/'Dinámica de la deuda'!H$12*100</f>
        <v>1.2845907043271592</v>
      </c>
      <c r="I59" s="112">
        <f>I15/'Dinámica de la deuda'!I$12*100</f>
        <v>1.2201441884963236</v>
      </c>
      <c r="J59" s="112">
        <f>J15/'Dinámica de la deuda'!J$12*100</f>
        <v>0.68577388968223074</v>
      </c>
      <c r="K59" s="112">
        <f>K15/'Dinámica de la deuda'!K$12*100</f>
        <v>0.69531652403770272</v>
      </c>
      <c r="L59" s="112">
        <f>L15/'Dinámica de la deuda'!L$12*100</f>
        <v>0.95358881591795575</v>
      </c>
      <c r="M59" s="112">
        <f>M15/'Dinámica de la deuda'!M$12*100</f>
        <v>1.1550550609313672</v>
      </c>
      <c r="N59" s="112">
        <f>N15/'Dinámica de la deuda'!N$12*100</f>
        <v>1.6023563417590438</v>
      </c>
      <c r="O59" s="112">
        <f>O15/'Dinámica de la deuda'!O$12*100</f>
        <v>1.7469936413621152</v>
      </c>
      <c r="P59" s="112">
        <f>P15/'Dinámica de la deuda'!P$12*100</f>
        <v>1.7258117550521028</v>
      </c>
      <c r="Q59" s="112">
        <f>Q15/'Dinámica de la deuda'!Q$12*100</f>
        <v>1.9041004663707617</v>
      </c>
      <c r="R59" s="112">
        <f>R15/'Dinámica de la deuda'!R$12*100</f>
        <v>2.2112538422935879</v>
      </c>
      <c r="S59" s="112">
        <f>S15/'Dinámica de la deuda'!S$12*100</f>
        <v>1.9718486086434661</v>
      </c>
      <c r="T59" s="112">
        <f>T15/'Dinámica de la deuda'!T$12*100</f>
        <v>1.6323395663597744</v>
      </c>
      <c r="U59" s="112">
        <f>U15/'Dinámica de la deuda'!U$12*100</f>
        <v>1.3406877358447882</v>
      </c>
      <c r="V59" s="112">
        <f>V15/'Dinámica de la deuda'!V$12*100</f>
        <v>3.101394784066783</v>
      </c>
      <c r="W59" s="112">
        <f>W15/'Dinámica de la deuda'!W$12*100</f>
        <v>2.9828221464390619</v>
      </c>
      <c r="X59" s="112">
        <f>X15/'Dinámica de la deuda'!X$12*100</f>
        <v>2.2415716984241092</v>
      </c>
      <c r="Y59" s="141">
        <f>Y15/'Dinámica de la deuda'!Y$12*100</f>
        <v>1.4658859785316758</v>
      </c>
      <c r="Z59" s="109">
        <f>Z15/'Dinámica de la deuda'!Z$12*100</f>
        <v>0</v>
      </c>
      <c r="AA59" s="109">
        <f>AA15/'Dinámica de la deuda'!AA$12*100</f>
        <v>0</v>
      </c>
      <c r="AB59" s="109">
        <f>AB15/'Dinámica de la deuda'!AB$12*100</f>
        <v>0</v>
      </c>
      <c r="AC59" s="109">
        <f>AC15/'Dinámica de la deuda'!AC$12*100</f>
        <v>0</v>
      </c>
      <c r="AD59" s="109">
        <f>AD15/'Dinámica de la deuda'!AD$12*100</f>
        <v>0</v>
      </c>
      <c r="AE59" s="109">
        <f>AE15/'Dinámica de la deuda'!AE$12*100</f>
        <v>0</v>
      </c>
      <c r="AF59" s="109">
        <f>AF15/'Dinámica de la deuda'!AF$12*100</f>
        <v>0</v>
      </c>
      <c r="AG59" s="109">
        <f>AG15/'Dinámica de la deuda'!AG$12*100</f>
        <v>0</v>
      </c>
      <c r="AH59" s="109">
        <f>AH15/'Dinámica de la deuda'!AH$12*100</f>
        <v>0</v>
      </c>
      <c r="AI59" s="109">
        <f>AI15/'Dinámica de la deuda'!AI$12*100</f>
        <v>0</v>
      </c>
      <c r="AJ59" s="109">
        <f>AJ15/'Dinámica de la deuda'!AJ$12*100</f>
        <v>0</v>
      </c>
      <c r="AK59" s="110">
        <f>AK15/'Dinámica de la deuda'!AK$12*100</f>
        <v>0</v>
      </c>
      <c r="AL59" s="34"/>
      <c r="AM59" s="34"/>
      <c r="AN59" s="34"/>
      <c r="AO59" s="34"/>
      <c r="AP59" s="34"/>
      <c r="AQ59" s="34"/>
      <c r="AR59" s="34"/>
      <c r="AS59" s="34"/>
      <c r="AT59" s="34"/>
      <c r="AU59" s="34"/>
      <c r="AV59" s="34"/>
      <c r="AW59" s="34"/>
      <c r="AX59" s="34"/>
      <c r="AY59" s="34"/>
      <c r="AZ59" s="34"/>
    </row>
    <row r="60" spans="1:52">
      <c r="A60" s="91" t="s">
        <v>12</v>
      </c>
      <c r="B60" s="111">
        <f>B16/'Dinámica de la deuda'!B$12*100</f>
        <v>3.0377630784230178</v>
      </c>
      <c r="C60" s="111">
        <f>C16/'Dinámica de la deuda'!C$12*100</f>
        <v>2.0250769929704613</v>
      </c>
      <c r="D60" s="111">
        <f>D16/'Dinámica de la deuda'!D$12*100</f>
        <v>1.4598971850220885</v>
      </c>
      <c r="E60" s="111">
        <f>E16/'Dinámica de la deuda'!E$12*100</f>
        <v>1.7275383248221434</v>
      </c>
      <c r="F60" s="111">
        <f>F16/'Dinámica de la deuda'!F$12*100</f>
        <v>1.1916702049684398</v>
      </c>
      <c r="G60" s="111">
        <f>G16/'Dinámica de la deuda'!G$12*100</f>
        <v>1.616380984178226</v>
      </c>
      <c r="H60" s="111">
        <f>H16/'Dinámica de la deuda'!H$12*100</f>
        <v>1.2845907043271592</v>
      </c>
      <c r="I60" s="111">
        <f>I16/'Dinámica de la deuda'!I$12*100</f>
        <v>1.2201441884963236</v>
      </c>
      <c r="J60" s="111">
        <f>J16/'Dinámica de la deuda'!J$12*100</f>
        <v>0.68577388968223074</v>
      </c>
      <c r="K60" s="111">
        <f>K16/'Dinámica de la deuda'!K$12*100</f>
        <v>0.69531652403770272</v>
      </c>
      <c r="L60" s="111">
        <f>L16/'Dinámica de la deuda'!L$12*100</f>
        <v>0.95358881591795575</v>
      </c>
      <c r="M60" s="111">
        <f>M16/'Dinámica de la deuda'!M$12*100</f>
        <v>1.1550550609313672</v>
      </c>
      <c r="N60" s="111">
        <f>N16/'Dinámica de la deuda'!N$12*100</f>
        <v>1.6023563417590438</v>
      </c>
      <c r="O60" s="111">
        <f>O16/'Dinámica de la deuda'!O$12*100</f>
        <v>1.7469936413621152</v>
      </c>
      <c r="P60" s="111">
        <f>P16/'Dinámica de la deuda'!P$12*100</f>
        <v>1.7258117550521028</v>
      </c>
      <c r="Q60" s="111">
        <f>Q16/'Dinámica de la deuda'!Q$12*100</f>
        <v>1.3436915024167591</v>
      </c>
      <c r="R60" s="111">
        <f>R16/'Dinámica de la deuda'!R$12*100</f>
        <v>0.98523372434895562</v>
      </c>
      <c r="S60" s="111">
        <f>S16/'Dinámica de la deuda'!S$12*100</f>
        <v>0.64624684190231896</v>
      </c>
      <c r="T60" s="111">
        <f>T16/'Dinámica de la deuda'!T$12*100</f>
        <v>0.41327895876333631</v>
      </c>
      <c r="U60" s="111">
        <f>U16/'Dinámica de la deuda'!U$12*100</f>
        <v>8.470051849354697E-2</v>
      </c>
      <c r="V60" s="111">
        <f>V16/'Dinámica de la deuda'!V$12*100</f>
        <v>2.7367398087796733E-2</v>
      </c>
      <c r="W60" s="111">
        <f>W16/'Dinámica de la deuda'!W$12*100</f>
        <v>1.5916576386159929E-2</v>
      </c>
      <c r="X60" s="111">
        <f>X16/'Dinámica de la deuda'!X$12*100</f>
        <v>3.3457608502362228E-2</v>
      </c>
      <c r="Y60" s="140">
        <f>Y16/'Dinámica de la deuda'!Y$12*100</f>
        <v>1.8905151845417321E-2</v>
      </c>
      <c r="Z60" s="33">
        <f>Z16/'Dinámica de la deuda'!Z$12*100</f>
        <v>0</v>
      </c>
      <c r="AA60" s="33">
        <f>AA16/'Dinámica de la deuda'!AA$12*100</f>
        <v>0</v>
      </c>
      <c r="AB60" s="33">
        <f>AB16/'Dinámica de la deuda'!AB$12*100</f>
        <v>0</v>
      </c>
      <c r="AC60" s="33">
        <f>AC16/'Dinámica de la deuda'!AC$12*100</f>
        <v>0</v>
      </c>
      <c r="AD60" s="33">
        <f>AD16/'Dinámica de la deuda'!AD$12*100</f>
        <v>0</v>
      </c>
      <c r="AE60" s="33">
        <f>AE16/'Dinámica de la deuda'!AE$12*100</f>
        <v>0</v>
      </c>
      <c r="AF60" s="33">
        <f>AF16/'Dinámica de la deuda'!AF$12*100</f>
        <v>0</v>
      </c>
      <c r="AG60" s="33">
        <f>AG16/'Dinámica de la deuda'!AG$12*100</f>
        <v>0</v>
      </c>
      <c r="AH60" s="33">
        <f>AH16/'Dinámica de la deuda'!AH$12*100</f>
        <v>0</v>
      </c>
      <c r="AI60" s="33">
        <f>AI16/'Dinámica de la deuda'!AI$12*100</f>
        <v>0</v>
      </c>
      <c r="AJ60" s="33">
        <f>AJ16/'Dinámica de la deuda'!AJ$12*100</f>
        <v>0</v>
      </c>
      <c r="AK60" s="106">
        <f>AK16/'Dinámica de la deuda'!AK$12*100</f>
        <v>0</v>
      </c>
      <c r="AL60" s="34"/>
      <c r="AM60" s="34"/>
      <c r="AN60" s="34"/>
      <c r="AO60" s="34"/>
      <c r="AP60" s="34"/>
      <c r="AQ60" s="34"/>
      <c r="AR60" s="34"/>
      <c r="AS60" s="34"/>
      <c r="AT60" s="34"/>
      <c r="AU60" s="34"/>
      <c r="AV60" s="34"/>
      <c r="AW60" s="34"/>
      <c r="AX60" s="34"/>
      <c r="AY60" s="34"/>
      <c r="AZ60" s="34"/>
    </row>
    <row r="61" spans="1:52">
      <c r="A61" s="91" t="s">
        <v>13</v>
      </c>
      <c r="B61" s="111">
        <f>B17/'Dinámica de la deuda'!B$12*100</f>
        <v>0</v>
      </c>
      <c r="C61" s="111">
        <f>C17/'Dinámica de la deuda'!C$12*100</f>
        <v>0</v>
      </c>
      <c r="D61" s="111">
        <f>D17/'Dinámica de la deuda'!D$12*100</f>
        <v>0</v>
      </c>
      <c r="E61" s="111">
        <f>E17/'Dinámica de la deuda'!E$12*100</f>
        <v>0</v>
      </c>
      <c r="F61" s="111">
        <f>F17/'Dinámica de la deuda'!F$12*100</f>
        <v>0</v>
      </c>
      <c r="G61" s="111">
        <f>G17/'Dinámica de la deuda'!G$12*100</f>
        <v>0</v>
      </c>
      <c r="H61" s="111">
        <f>H17/'Dinámica de la deuda'!H$12*100</f>
        <v>0</v>
      </c>
      <c r="I61" s="111">
        <f>I17/'Dinámica de la deuda'!I$12*100</f>
        <v>0</v>
      </c>
      <c r="J61" s="111">
        <f>J17/'Dinámica de la deuda'!J$12*100</f>
        <v>0</v>
      </c>
      <c r="K61" s="111">
        <f>K17/'Dinámica de la deuda'!K$12*100</f>
        <v>0</v>
      </c>
      <c r="L61" s="111">
        <f>L17/'Dinámica de la deuda'!L$12*100</f>
        <v>0</v>
      </c>
      <c r="M61" s="111">
        <f>M17/'Dinámica de la deuda'!M$12*100</f>
        <v>0</v>
      </c>
      <c r="N61" s="111">
        <f>N17/'Dinámica de la deuda'!N$12*100</f>
        <v>0</v>
      </c>
      <c r="O61" s="111">
        <f>O17/'Dinámica de la deuda'!O$12*100</f>
        <v>0</v>
      </c>
      <c r="P61" s="111">
        <f>P17/'Dinámica de la deuda'!P$12*100</f>
        <v>0</v>
      </c>
      <c r="Q61" s="111">
        <f>Q17/'Dinámica de la deuda'!Q$12*100</f>
        <v>0.56040896395400275</v>
      </c>
      <c r="R61" s="111">
        <f>R17/'Dinámica de la deuda'!R$12*100</f>
        <v>1.2260201179446319</v>
      </c>
      <c r="S61" s="111">
        <f>S17/'Dinámica de la deuda'!S$12*100</f>
        <v>1.3256017667411473</v>
      </c>
      <c r="T61" s="111">
        <f>T17/'Dinámica de la deuda'!T$12*100</f>
        <v>1.2190606075964381</v>
      </c>
      <c r="U61" s="111">
        <f>U17/'Dinámica de la deuda'!U$12*100</f>
        <v>1.255987217351241</v>
      </c>
      <c r="V61" s="111">
        <f>V17/'Dinámica de la deuda'!V$12*100</f>
        <v>1.3966437401185583</v>
      </c>
      <c r="W61" s="111">
        <f>W17/'Dinámica de la deuda'!W$12*100</f>
        <v>1.4051290182323313</v>
      </c>
      <c r="X61" s="111">
        <f>X17/'Dinámica de la deuda'!X$12*100</f>
        <v>1.1973303462399336</v>
      </c>
      <c r="Y61" s="140">
        <f>Y17/'Dinámica de la deuda'!Y$12*100</f>
        <v>1.1744812673320555</v>
      </c>
      <c r="Z61" s="33">
        <f>Z17/'Dinámica de la deuda'!Z$12*100</f>
        <v>0</v>
      </c>
      <c r="AA61" s="33">
        <f>AA17/'Dinámica de la deuda'!AA$12*100</f>
        <v>0</v>
      </c>
      <c r="AB61" s="33">
        <f>AB17/'Dinámica de la deuda'!AB$12*100</f>
        <v>0</v>
      </c>
      <c r="AC61" s="33">
        <f>AC17/'Dinámica de la deuda'!AC$12*100</f>
        <v>0</v>
      </c>
      <c r="AD61" s="33">
        <f>AD17/'Dinámica de la deuda'!AD$12*100</f>
        <v>0</v>
      </c>
      <c r="AE61" s="33">
        <f>AE17/'Dinámica de la deuda'!AE$12*100</f>
        <v>0</v>
      </c>
      <c r="AF61" s="33">
        <f>AF17/'Dinámica de la deuda'!AF$12*100</f>
        <v>0</v>
      </c>
      <c r="AG61" s="33">
        <f>AG17/'Dinámica de la deuda'!AG$12*100</f>
        <v>0</v>
      </c>
      <c r="AH61" s="33">
        <f>AH17/'Dinámica de la deuda'!AH$12*100</f>
        <v>0</v>
      </c>
      <c r="AI61" s="33">
        <f>AI17/'Dinámica de la deuda'!AI$12*100</f>
        <v>0</v>
      </c>
      <c r="AJ61" s="33">
        <f>AJ17/'Dinámica de la deuda'!AJ$12*100</f>
        <v>0</v>
      </c>
      <c r="AK61" s="106">
        <f>AK17/'Dinámica de la deuda'!AK$12*100</f>
        <v>0</v>
      </c>
      <c r="AL61" s="34"/>
      <c r="AM61" s="34"/>
      <c r="AN61" s="34"/>
      <c r="AO61" s="34"/>
      <c r="AP61" s="34"/>
      <c r="AQ61" s="34"/>
      <c r="AR61" s="34"/>
      <c r="AS61" s="34"/>
      <c r="AT61" s="34"/>
      <c r="AU61" s="34"/>
      <c r="AV61" s="34"/>
      <c r="AW61" s="34"/>
      <c r="AX61" s="34"/>
      <c r="AY61" s="34"/>
      <c r="AZ61" s="34"/>
    </row>
    <row r="62" spans="1:52">
      <c r="A62" s="91" t="s">
        <v>14</v>
      </c>
      <c r="B62" s="111">
        <f>B18/'Dinámica de la deuda'!B$12*100</f>
        <v>0</v>
      </c>
      <c r="C62" s="111">
        <f>C18/'Dinámica de la deuda'!C$12*100</f>
        <v>0</v>
      </c>
      <c r="D62" s="111">
        <f>D18/'Dinámica de la deuda'!D$12*100</f>
        <v>0</v>
      </c>
      <c r="E62" s="111">
        <f>E18/'Dinámica de la deuda'!E$12*100</f>
        <v>0</v>
      </c>
      <c r="F62" s="111">
        <f>F18/'Dinámica de la deuda'!F$12*100</f>
        <v>0</v>
      </c>
      <c r="G62" s="111">
        <f>G18/'Dinámica de la deuda'!G$12*100</f>
        <v>0</v>
      </c>
      <c r="H62" s="111">
        <f>H18/'Dinámica de la deuda'!H$12*100</f>
        <v>0</v>
      </c>
      <c r="I62" s="111">
        <f>I18/'Dinámica de la deuda'!I$12*100</f>
        <v>0</v>
      </c>
      <c r="J62" s="111">
        <f>J18/'Dinámica de la deuda'!J$12*100</f>
        <v>0</v>
      </c>
      <c r="K62" s="111">
        <f>K18/'Dinámica de la deuda'!K$12*100</f>
        <v>0</v>
      </c>
      <c r="L62" s="111">
        <f>L18/'Dinámica de la deuda'!L$12*100</f>
        <v>0</v>
      </c>
      <c r="M62" s="111">
        <f>M18/'Dinámica de la deuda'!M$12*100</f>
        <v>0</v>
      </c>
      <c r="N62" s="111">
        <f>N18/'Dinámica de la deuda'!N$12*100</f>
        <v>0</v>
      </c>
      <c r="O62" s="111">
        <f>O18/'Dinámica de la deuda'!O$12*100</f>
        <v>0</v>
      </c>
      <c r="P62" s="111">
        <f>P18/'Dinámica de la deuda'!P$12*100</f>
        <v>0</v>
      </c>
      <c r="Q62" s="111">
        <f>Q18/'Dinámica de la deuda'!Q$12*100</f>
        <v>0</v>
      </c>
      <c r="R62" s="111">
        <f>R18/'Dinámica de la deuda'!R$12*100</f>
        <v>0</v>
      </c>
      <c r="S62" s="111">
        <f>S18/'Dinámica de la deuda'!S$12*100</f>
        <v>0</v>
      </c>
      <c r="T62" s="111">
        <f>T18/'Dinámica de la deuda'!T$12*100</f>
        <v>0</v>
      </c>
      <c r="U62" s="111">
        <f>U18/'Dinámica de la deuda'!U$12*100</f>
        <v>0</v>
      </c>
      <c r="V62" s="111">
        <f>V18/'Dinámica de la deuda'!V$12*100</f>
        <v>1.6773836458604277</v>
      </c>
      <c r="W62" s="111">
        <f>W18/'Dinámica de la deuda'!W$12*100</f>
        <v>1.5617765518205708</v>
      </c>
      <c r="X62" s="111">
        <f>X18/'Dinámica de la deuda'!X$12*100</f>
        <v>1.0107837436818137</v>
      </c>
      <c r="Y62" s="140">
        <f>Y18/'Dinámica de la deuda'!Y$12*100</f>
        <v>0.272499559354203</v>
      </c>
      <c r="Z62" s="33">
        <f>Z18/'Dinámica de la deuda'!Z$12*100</f>
        <v>0</v>
      </c>
      <c r="AA62" s="33">
        <f>AA18/'Dinámica de la deuda'!AA$12*100</f>
        <v>0</v>
      </c>
      <c r="AB62" s="33">
        <f>AB18/'Dinámica de la deuda'!AB$12*100</f>
        <v>0</v>
      </c>
      <c r="AC62" s="33">
        <f>AC18/'Dinámica de la deuda'!AC$12*100</f>
        <v>0</v>
      </c>
      <c r="AD62" s="33">
        <f>AD18/'Dinámica de la deuda'!AD$12*100</f>
        <v>0</v>
      </c>
      <c r="AE62" s="33">
        <f>AE18/'Dinámica de la deuda'!AE$12*100</f>
        <v>0</v>
      </c>
      <c r="AF62" s="33">
        <f>AF18/'Dinámica de la deuda'!AF$12*100</f>
        <v>0</v>
      </c>
      <c r="AG62" s="33">
        <f>AG18/'Dinámica de la deuda'!AG$12*100</f>
        <v>0</v>
      </c>
      <c r="AH62" s="33">
        <f>AH18/'Dinámica de la deuda'!AH$12*100</f>
        <v>0</v>
      </c>
      <c r="AI62" s="33">
        <f>AI18/'Dinámica de la deuda'!AI$12*100</f>
        <v>0</v>
      </c>
      <c r="AJ62" s="33">
        <f>AJ18/'Dinámica de la deuda'!AJ$12*100</f>
        <v>0</v>
      </c>
      <c r="AK62" s="106">
        <f>AK18/'Dinámica de la deuda'!AK$12*100</f>
        <v>0</v>
      </c>
      <c r="AL62" s="34"/>
      <c r="AM62" s="34"/>
      <c r="AN62" s="34"/>
      <c r="AO62" s="34"/>
      <c r="AP62" s="34"/>
      <c r="AQ62" s="34"/>
      <c r="AR62" s="34"/>
      <c r="AS62" s="34"/>
      <c r="AT62" s="34"/>
      <c r="AU62" s="34"/>
      <c r="AV62" s="34"/>
      <c r="AW62" s="34"/>
      <c r="AX62" s="34"/>
      <c r="AY62" s="34"/>
      <c r="AZ62" s="34"/>
    </row>
    <row r="63" spans="1:52" s="11" customFormat="1">
      <c r="A63" s="94" t="s">
        <v>15</v>
      </c>
      <c r="B63" s="112">
        <f>B19/'Dinámica de la deuda'!B$12*100</f>
        <v>1.6518593377272481</v>
      </c>
      <c r="C63" s="112">
        <f>C19/'Dinámica de la deuda'!C$12*100</f>
        <v>1.202946841808175</v>
      </c>
      <c r="D63" s="112">
        <f>D19/'Dinámica de la deuda'!D$12*100</f>
        <v>2.5053856792200464</v>
      </c>
      <c r="E63" s="112">
        <f>E19/'Dinámica de la deuda'!E$12*100</f>
        <v>0.91019113442510291</v>
      </c>
      <c r="F63" s="112">
        <f>F19/'Dinámica de la deuda'!F$12*100</f>
        <v>1.1101570390714344</v>
      </c>
      <c r="G63" s="112">
        <f>G19/'Dinámica de la deuda'!G$12*100</f>
        <v>1.7875768132317733</v>
      </c>
      <c r="H63" s="112">
        <f>H19/'Dinámica de la deuda'!H$12*100</f>
        <v>2.222602712643821</v>
      </c>
      <c r="I63" s="112">
        <f>I19/'Dinámica de la deuda'!I$12*100</f>
        <v>2.0553356232340438</v>
      </c>
      <c r="J63" s="112">
        <f>J19/'Dinámica de la deuda'!J$12*100</f>
        <v>0.78725696932856626</v>
      </c>
      <c r="K63" s="112">
        <f>K19/'Dinámica de la deuda'!K$12*100</f>
        <v>0.79730165059938085</v>
      </c>
      <c r="L63" s="112">
        <f>L19/'Dinámica de la deuda'!L$12*100</f>
        <v>1.3570864500925786</v>
      </c>
      <c r="M63" s="112">
        <f>M19/'Dinámica de la deuda'!M$12*100</f>
        <v>1.4446536750977168</v>
      </c>
      <c r="N63" s="112">
        <f>N19/'Dinámica de la deuda'!N$12*100</f>
        <v>1.8898581364701679</v>
      </c>
      <c r="O63" s="112">
        <f>O19/'Dinámica de la deuda'!O$12*100</f>
        <v>1.0298934824452723</v>
      </c>
      <c r="P63" s="112">
        <f>P19/'Dinámica de la deuda'!P$12*100</f>
        <v>2.4579652587208005</v>
      </c>
      <c r="Q63" s="112">
        <f>Q19/'Dinámica de la deuda'!Q$12*100</f>
        <v>3.1903380267280164</v>
      </c>
      <c r="R63" s="112">
        <f>R19/'Dinámica de la deuda'!R$12*100</f>
        <v>2.8401677006903787</v>
      </c>
      <c r="S63" s="112">
        <f>S19/'Dinámica de la deuda'!S$12*100</f>
        <v>2.4600018710347804</v>
      </c>
      <c r="T63" s="112">
        <f>T19/'Dinámica de la deuda'!T$12*100</f>
        <v>2.5940971828776593</v>
      </c>
      <c r="U63" s="112">
        <f>U19/'Dinámica de la deuda'!U$12*100</f>
        <v>2.9854589573645671</v>
      </c>
      <c r="V63" s="112">
        <f>V19/'Dinámica de la deuda'!V$12*100</f>
        <v>1.9549408496753617</v>
      </c>
      <c r="W63" s="112">
        <f>W19/'Dinámica de la deuda'!W$12*100</f>
        <v>4.3808092001620507</v>
      </c>
      <c r="X63" s="112">
        <f>X19/'Dinámica de la deuda'!X$12*100</f>
        <v>2.9216178604755294</v>
      </c>
      <c r="Y63" s="141">
        <f>Y19/'Dinámica de la deuda'!Y$12*100</f>
        <v>3.1963626726928056</v>
      </c>
      <c r="Z63" s="109">
        <f>Z19/'Dinámica de la deuda'!Z$12*100</f>
        <v>0</v>
      </c>
      <c r="AA63" s="109">
        <f>AA19/'Dinámica de la deuda'!AA$12*100</f>
        <v>0</v>
      </c>
      <c r="AB63" s="109">
        <f>AB19/'Dinámica de la deuda'!AB$12*100</f>
        <v>0</v>
      </c>
      <c r="AC63" s="109">
        <f>AC19/'Dinámica de la deuda'!AC$12*100</f>
        <v>0</v>
      </c>
      <c r="AD63" s="109">
        <f>AD19/'Dinámica de la deuda'!AD$12*100</f>
        <v>0</v>
      </c>
      <c r="AE63" s="109">
        <f>AE19/'Dinámica de la deuda'!AE$12*100</f>
        <v>0</v>
      </c>
      <c r="AF63" s="109">
        <f>AF19/'Dinámica de la deuda'!AF$12*100</f>
        <v>0</v>
      </c>
      <c r="AG63" s="109">
        <f>AG19/'Dinámica de la deuda'!AG$12*100</f>
        <v>0</v>
      </c>
      <c r="AH63" s="109">
        <f>AH19/'Dinámica de la deuda'!AH$12*100</f>
        <v>0</v>
      </c>
      <c r="AI63" s="109">
        <f>AI19/'Dinámica de la deuda'!AI$12*100</f>
        <v>0</v>
      </c>
      <c r="AJ63" s="109">
        <f>AJ19/'Dinámica de la deuda'!AJ$12*100</f>
        <v>0</v>
      </c>
      <c r="AK63" s="110">
        <f>AK19/'Dinámica de la deuda'!AK$12*100</f>
        <v>0</v>
      </c>
      <c r="AL63" s="34"/>
      <c r="AM63" s="34"/>
      <c r="AN63" s="34"/>
      <c r="AO63" s="34"/>
      <c r="AP63" s="34"/>
      <c r="AQ63" s="34"/>
      <c r="AR63" s="34"/>
      <c r="AS63" s="34"/>
      <c r="AT63" s="34"/>
      <c r="AU63" s="34"/>
      <c r="AV63" s="34"/>
      <c r="AW63" s="34"/>
      <c r="AX63" s="34"/>
      <c r="AY63" s="34"/>
      <c r="AZ63" s="34"/>
    </row>
    <row r="64" spans="1:52">
      <c r="A64" s="91" t="s">
        <v>16</v>
      </c>
      <c r="B64" s="111">
        <f>B20/'Dinámica de la deuda'!B$12*100</f>
        <v>0.72204404394950705</v>
      </c>
      <c r="C64" s="111">
        <f>C20/'Dinámica de la deuda'!C$12*100</f>
        <v>0.48498423894293552</v>
      </c>
      <c r="D64" s="111">
        <f>D20/'Dinámica de la deuda'!D$12*100</f>
        <v>0.63907242770997441</v>
      </c>
      <c r="E64" s="111">
        <f>E20/'Dinámica de la deuda'!E$12*100</f>
        <v>0.46967340549146391</v>
      </c>
      <c r="F64" s="111">
        <f>F20/'Dinámica de la deuda'!F$12*100</f>
        <v>0.46205347890514831</v>
      </c>
      <c r="G64" s="111">
        <f>G20/'Dinámica de la deuda'!G$12*100</f>
        <v>0.90798118190278043</v>
      </c>
      <c r="H64" s="111">
        <f>H20/'Dinámica de la deuda'!H$12*100</f>
        <v>1.2918752048632847</v>
      </c>
      <c r="I64" s="111">
        <f>I20/'Dinámica de la deuda'!I$12*100</f>
        <v>0.89944110485686746</v>
      </c>
      <c r="J64" s="111">
        <f>J20/'Dinámica de la deuda'!J$12*100</f>
        <v>0.56863455245993988</v>
      </c>
      <c r="K64" s="111">
        <f>K20/'Dinámica de la deuda'!K$12*100</f>
        <v>0.52367190349046555</v>
      </c>
      <c r="L64" s="111">
        <f>L20/'Dinámica de la deuda'!L$12*100</f>
        <v>0.37264264090953131</v>
      </c>
      <c r="M64" s="111">
        <f>M20/'Dinámica de la deuda'!M$12*100</f>
        <v>0.96790163206990298</v>
      </c>
      <c r="N64" s="111">
        <f>N20/'Dinámica de la deuda'!N$12*100</f>
        <v>1.411218246682195</v>
      </c>
      <c r="O64" s="111">
        <f>O20/'Dinámica de la deuda'!O$12*100</f>
        <v>0.86940749442567677</v>
      </c>
      <c r="P64" s="111">
        <f>P20/'Dinámica de la deuda'!P$12*100</f>
        <v>2.1535027021507043</v>
      </c>
      <c r="Q64" s="111">
        <f>Q20/'Dinámica de la deuda'!Q$12*100</f>
        <v>2.8697000108690136</v>
      </c>
      <c r="R64" s="111">
        <f>R20/'Dinámica de la deuda'!R$12*100</f>
        <v>2.1475764951167831</v>
      </c>
      <c r="S64" s="111">
        <f>S20/'Dinámica de la deuda'!S$12*100</f>
        <v>1.4806955841998273</v>
      </c>
      <c r="T64" s="111">
        <f>T20/'Dinámica de la deuda'!T$12*100</f>
        <v>1.7650951687998049</v>
      </c>
      <c r="U64" s="111">
        <f>U20/'Dinámica de la deuda'!U$12*100</f>
        <v>2.0761641144783272</v>
      </c>
      <c r="V64" s="111">
        <f>V20/'Dinámica de la deuda'!V$12*100</f>
        <v>1.3254621793136472</v>
      </c>
      <c r="W64" s="111">
        <f>W20/'Dinámica de la deuda'!W$12*100</f>
        <v>2.9351830881035577</v>
      </c>
      <c r="X64" s="111">
        <f>X20/'Dinámica de la deuda'!X$12*100</f>
        <v>2.3197787999845074</v>
      </c>
      <c r="Y64" s="140">
        <f>Y20/'Dinámica de la deuda'!Y$12*100</f>
        <v>2.3330188705177202</v>
      </c>
      <c r="Z64" s="33">
        <f>Z20/'Dinámica de la deuda'!Z$12*100</f>
        <v>0</v>
      </c>
      <c r="AA64" s="33">
        <f>AA20/'Dinámica de la deuda'!AA$12*100</f>
        <v>0</v>
      </c>
      <c r="AB64" s="33">
        <f>AB20/'Dinámica de la deuda'!AB$12*100</f>
        <v>0</v>
      </c>
      <c r="AC64" s="33">
        <f>AC20/'Dinámica de la deuda'!AC$12*100</f>
        <v>0</v>
      </c>
      <c r="AD64" s="33">
        <f>AD20/'Dinámica de la deuda'!AD$12*100</f>
        <v>0</v>
      </c>
      <c r="AE64" s="33">
        <f>AE20/'Dinámica de la deuda'!AE$12*100</f>
        <v>0</v>
      </c>
      <c r="AF64" s="33">
        <f>AF20/'Dinámica de la deuda'!AF$12*100</f>
        <v>0</v>
      </c>
      <c r="AG64" s="33">
        <f>AG20/'Dinámica de la deuda'!AG$12*100</f>
        <v>0</v>
      </c>
      <c r="AH64" s="33">
        <f>AH20/'Dinámica de la deuda'!AH$12*100</f>
        <v>0</v>
      </c>
      <c r="AI64" s="33">
        <f>AI20/'Dinámica de la deuda'!AI$12*100</f>
        <v>0</v>
      </c>
      <c r="AJ64" s="33">
        <f>AJ20/'Dinámica de la deuda'!AJ$12*100</f>
        <v>0</v>
      </c>
      <c r="AK64" s="106">
        <f>AK20/'Dinámica de la deuda'!AK$12*100</f>
        <v>0</v>
      </c>
      <c r="AL64" s="34"/>
      <c r="AM64" s="34"/>
      <c r="AN64" s="34"/>
      <c r="AO64" s="34"/>
      <c r="AP64" s="34"/>
      <c r="AQ64" s="34"/>
      <c r="AR64" s="34"/>
      <c r="AS64" s="34"/>
      <c r="AT64" s="34"/>
      <c r="AU64" s="34"/>
      <c r="AV64" s="34"/>
      <c r="AW64" s="34"/>
      <c r="AX64" s="34"/>
      <c r="AY64" s="34"/>
      <c r="AZ64" s="34"/>
    </row>
    <row r="65" spans="1:52">
      <c r="A65" s="91" t="s">
        <v>17</v>
      </c>
      <c r="B65" s="111">
        <f>B21/'Dinámica de la deuda'!B$12*100</f>
        <v>0.92981529377774119</v>
      </c>
      <c r="C65" s="111">
        <f>C21/'Dinámica de la deuda'!C$12*100</f>
        <v>0.71796260286523939</v>
      </c>
      <c r="D65" s="111">
        <f>D21/'Dinámica de la deuda'!D$12*100</f>
        <v>1.8663132515100722</v>
      </c>
      <c r="E65" s="111">
        <f>E21/'Dinámica de la deuda'!E$12*100</f>
        <v>0.44051772893363905</v>
      </c>
      <c r="F65" s="111">
        <f>F21/'Dinámica de la deuda'!F$12*100</f>
        <v>0.64810356016628612</v>
      </c>
      <c r="G65" s="111">
        <f>G21/'Dinámica de la deuda'!G$12*100</f>
        <v>0.8795956313289931</v>
      </c>
      <c r="H65" s="111">
        <f>H21/'Dinámica de la deuda'!H$12*100</f>
        <v>0.93072750778053615</v>
      </c>
      <c r="I65" s="111">
        <f>I21/'Dinámica de la deuda'!I$12*100</f>
        <v>1.1558945183771765</v>
      </c>
      <c r="J65" s="111">
        <f>J21/'Dinámica de la deuda'!J$12*100</f>
        <v>0.21862241686862643</v>
      </c>
      <c r="K65" s="111">
        <f>K21/'Dinámica de la deuda'!K$12*100</f>
        <v>0.27362974710891536</v>
      </c>
      <c r="L65" s="111">
        <f>L21/'Dinámica de la deuda'!L$12*100</f>
        <v>0.9844438091830473</v>
      </c>
      <c r="M65" s="111">
        <f>M21/'Dinámica de la deuda'!M$12*100</f>
        <v>0.47675204302781377</v>
      </c>
      <c r="N65" s="111">
        <f>N21/'Dinámica de la deuda'!N$12*100</f>
        <v>0.47863988978797306</v>
      </c>
      <c r="O65" s="111">
        <f>O21/'Dinámica de la deuda'!O$12*100</f>
        <v>0.16048598801959563</v>
      </c>
      <c r="P65" s="111">
        <f>P21/'Dinámica de la deuda'!P$12*100</f>
        <v>0.3044625565700958</v>
      </c>
      <c r="Q65" s="111">
        <f>Q21/'Dinámica de la deuda'!Q$12*100</f>
        <v>0.32063801585900231</v>
      </c>
      <c r="R65" s="111">
        <f>R21/'Dinámica de la deuda'!R$12*100</f>
        <v>0.69259120557359555</v>
      </c>
      <c r="S65" s="111">
        <f>S21/'Dinámica de la deuda'!S$12*100</f>
        <v>0.97930628683495313</v>
      </c>
      <c r="T65" s="111">
        <f>T21/'Dinámica de la deuda'!T$12*100</f>
        <v>0.82900201407785423</v>
      </c>
      <c r="U65" s="111">
        <f>U21/'Dinámica de la deuda'!U$12*100</f>
        <v>0.90929484288624007</v>
      </c>
      <c r="V65" s="111">
        <f>V21/'Dinámica de la deuda'!V$12*100</f>
        <v>0.62947867036171512</v>
      </c>
      <c r="W65" s="111">
        <f>W21/'Dinámica de la deuda'!W$12*100</f>
        <v>1.4456261120584935</v>
      </c>
      <c r="X65" s="111">
        <f>X21/'Dinámica de la deuda'!X$12*100</f>
        <v>0.60183906049102232</v>
      </c>
      <c r="Y65" s="140">
        <f>Y21/'Dinámica de la deuda'!Y$12*100</f>
        <v>0.86334380217508599</v>
      </c>
      <c r="Z65" s="33">
        <f>Z21/'Dinámica de la deuda'!Z$12*100</f>
        <v>0</v>
      </c>
      <c r="AA65" s="33">
        <f>AA21/'Dinámica de la deuda'!AA$12*100</f>
        <v>0</v>
      </c>
      <c r="AB65" s="33">
        <f>AB21/'Dinámica de la deuda'!AB$12*100</f>
        <v>0</v>
      </c>
      <c r="AC65" s="33">
        <f>AC21/'Dinámica de la deuda'!AC$12*100</f>
        <v>0</v>
      </c>
      <c r="AD65" s="33">
        <f>AD21/'Dinámica de la deuda'!AD$12*100</f>
        <v>0</v>
      </c>
      <c r="AE65" s="33">
        <f>AE21/'Dinámica de la deuda'!AE$12*100</f>
        <v>0</v>
      </c>
      <c r="AF65" s="33">
        <f>AF21/'Dinámica de la deuda'!AF$12*100</f>
        <v>0</v>
      </c>
      <c r="AG65" s="33">
        <f>AG21/'Dinámica de la deuda'!AG$12*100</f>
        <v>0</v>
      </c>
      <c r="AH65" s="33">
        <f>AH21/'Dinámica de la deuda'!AH$12*100</f>
        <v>0</v>
      </c>
      <c r="AI65" s="33">
        <f>AI21/'Dinámica de la deuda'!AI$12*100</f>
        <v>0</v>
      </c>
      <c r="AJ65" s="33">
        <f>AJ21/'Dinámica de la deuda'!AJ$12*100</f>
        <v>0</v>
      </c>
      <c r="AK65" s="106">
        <f>AK21/'Dinámica de la deuda'!AK$12*100</f>
        <v>0</v>
      </c>
      <c r="AL65" s="34"/>
      <c r="AM65" s="34"/>
      <c r="AN65" s="34"/>
      <c r="AO65" s="34"/>
      <c r="AP65" s="34"/>
      <c r="AQ65" s="34"/>
      <c r="AR65" s="34"/>
      <c r="AS65" s="34"/>
      <c r="AT65" s="34"/>
      <c r="AU65" s="34"/>
      <c r="AV65" s="34"/>
      <c r="AW65" s="34"/>
      <c r="AX65" s="34"/>
      <c r="AY65" s="34"/>
      <c r="AZ65" s="34"/>
    </row>
    <row r="66" spans="1:52" s="11" customFormat="1">
      <c r="A66" s="94" t="s">
        <v>18</v>
      </c>
      <c r="B66" s="112">
        <f>B22/'Dinámica de la deuda'!B$12*100</f>
        <v>32.944807867269041</v>
      </c>
      <c r="C66" s="112">
        <f>C22/'Dinámica de la deuda'!C$12*100</f>
        <v>35.98155605490139</v>
      </c>
      <c r="D66" s="112">
        <f>D22/'Dinámica de la deuda'!D$12*100</f>
        <v>38.88629656074297</v>
      </c>
      <c r="E66" s="112">
        <f>E22/'Dinámica de la deuda'!E$12*100</f>
        <v>46.294708276224569</v>
      </c>
      <c r="F66" s="112">
        <f>F22/'Dinámica de la deuda'!F$12*100</f>
        <v>45.180869434886056</v>
      </c>
      <c r="G66" s="112">
        <f>G22/'Dinámica de la deuda'!G$12*100</f>
        <v>41.445830763016986</v>
      </c>
      <c r="H66" s="112">
        <f>H22/'Dinámica de la deuda'!H$12*100</f>
        <v>40.442972646372297</v>
      </c>
      <c r="I66" s="112">
        <f>I22/'Dinámica de la deuda'!I$12*100</f>
        <v>38.219613194059036</v>
      </c>
      <c r="J66" s="112">
        <f>J22/'Dinámica de la deuda'!J$12*100</f>
        <v>35.747186483166885</v>
      </c>
      <c r="K66" s="112">
        <f>K22/'Dinámica de la deuda'!K$12*100</f>
        <v>35.261129741147627</v>
      </c>
      <c r="L66" s="112">
        <f>L22/'Dinámica de la deuda'!L$12*100</f>
        <v>36.547016016680772</v>
      </c>
      <c r="M66" s="112">
        <f>M22/'Dinámica de la deuda'!M$12*100</f>
        <v>36.993106602636708</v>
      </c>
      <c r="N66" s="112">
        <f>N22/'Dinámica de la deuda'!N$12*100</f>
        <v>34.395149424615958</v>
      </c>
      <c r="O66" s="112">
        <f>O22/'Dinámica de la deuda'!O$12*100</f>
        <v>33.168283941417471</v>
      </c>
      <c r="P66" s="112">
        <f>P22/'Dinámica de la deuda'!P$12*100</f>
        <v>34.187573474715059</v>
      </c>
      <c r="Q66" s="112">
        <f>Q22/'Dinámica de la deuda'!Q$12*100</f>
        <v>36.708884959593632</v>
      </c>
      <c r="R66" s="112">
        <f>R22/'Dinámica de la deuda'!R$12*100</f>
        <v>41.772369287938936</v>
      </c>
      <c r="S66" s="112">
        <f>S22/'Dinámica de la deuda'!S$12*100</f>
        <v>43.167005002586293</v>
      </c>
      <c r="T66" s="112">
        <f>T22/'Dinámica de la deuda'!T$12*100</f>
        <v>43.7855415671456</v>
      </c>
      <c r="U66" s="112">
        <f>U22/'Dinámica de la deuda'!U$12*100</f>
        <v>46.343712836609299</v>
      </c>
      <c r="V66" s="112">
        <f>V22/'Dinámica de la deuda'!V$12*100</f>
        <v>48.389314842038736</v>
      </c>
      <c r="W66" s="112">
        <f>W22/'Dinámica de la deuda'!W$12*100</f>
        <v>60.701422536015329</v>
      </c>
      <c r="X66" s="112">
        <f>X22/'Dinámica de la deuda'!X$12*100</f>
        <v>60.055094550312738</v>
      </c>
      <c r="Y66" s="141">
        <f>Y22/'Dinámica de la deuda'!Y$12*100</f>
        <v>57.943457330808265</v>
      </c>
      <c r="Z66" s="109" t="e">
        <f>Z22/'Dinámica de la deuda'!Z$12*100</f>
        <v>#DIV/0!</v>
      </c>
      <c r="AA66" s="109" t="e">
        <f>AA22/'Dinámica de la deuda'!AA$12*100</f>
        <v>#DIV/0!</v>
      </c>
      <c r="AB66" s="109" t="e">
        <f>AB22/'Dinámica de la deuda'!AB$12*100</f>
        <v>#DIV/0!</v>
      </c>
      <c r="AC66" s="109" t="e">
        <f>AC22/'Dinámica de la deuda'!AC$12*100</f>
        <v>#DIV/0!</v>
      </c>
      <c r="AD66" s="109" t="e">
        <f>AD22/'Dinámica de la deuda'!AD$12*100</f>
        <v>#DIV/0!</v>
      </c>
      <c r="AE66" s="109" t="e">
        <f>AE22/'Dinámica de la deuda'!AE$12*100</f>
        <v>#DIV/0!</v>
      </c>
      <c r="AF66" s="109" t="e">
        <f>AF22/'Dinámica de la deuda'!AF$12*100</f>
        <v>#DIV/0!</v>
      </c>
      <c r="AG66" s="109" t="e">
        <f>AG22/'Dinámica de la deuda'!AG$12*100</f>
        <v>#DIV/0!</v>
      </c>
      <c r="AH66" s="109" t="e">
        <f>AH22/'Dinámica de la deuda'!AH$12*100</f>
        <v>#DIV/0!</v>
      </c>
      <c r="AI66" s="109" t="e">
        <f>AI22/'Dinámica de la deuda'!AI$12*100</f>
        <v>#DIV/0!</v>
      </c>
      <c r="AJ66" s="109" t="e">
        <f>AJ22/'Dinámica de la deuda'!AJ$12*100</f>
        <v>#DIV/0!</v>
      </c>
      <c r="AK66" s="110" t="e">
        <f>AK22/'Dinámica de la deuda'!AK$12*100</f>
        <v>#DIV/0!</v>
      </c>
      <c r="AL66" s="34"/>
      <c r="AM66" s="445"/>
      <c r="AN66" s="445"/>
      <c r="AO66" s="445"/>
      <c r="AP66" s="445"/>
      <c r="AQ66" s="445"/>
      <c r="AR66" s="445"/>
      <c r="AS66" s="445"/>
      <c r="AT66" s="445"/>
      <c r="AU66" s="445"/>
      <c r="AV66" s="445"/>
      <c r="AW66" s="445"/>
      <c r="AX66" s="445"/>
      <c r="AY66" s="445"/>
    </row>
    <row r="67" spans="1:52">
      <c r="A67" s="90" t="s">
        <v>19</v>
      </c>
      <c r="B67" s="151">
        <f>B23/'Dinámica de la deuda'!B$12*100</f>
        <v>29.907044788846022</v>
      </c>
      <c r="C67" s="151">
        <f>C23/'Dinámica de la deuda'!C$12*100</f>
        <v>33.956479061930935</v>
      </c>
      <c r="D67" s="151">
        <f>D23/'Dinámica de la deuda'!D$12*100</f>
        <v>37.426399375720884</v>
      </c>
      <c r="E67" s="151">
        <f>E23/'Dinámica de la deuda'!E$12*100</f>
        <v>44.567169951402427</v>
      </c>
      <c r="F67" s="151">
        <f>F23/'Dinámica de la deuda'!F$12*100</f>
        <v>43.989199229917617</v>
      </c>
      <c r="G67" s="151">
        <f>G23/'Dinámica de la deuda'!G$12*100</f>
        <v>39.82944977883875</v>
      </c>
      <c r="H67" s="151">
        <f>H23/'Dinámica de la deuda'!H$12*100</f>
        <v>39.158381942045139</v>
      </c>
      <c r="I67" s="151">
        <f>I23/'Dinámica de la deuda'!I$12*100</f>
        <v>36.999469005562716</v>
      </c>
      <c r="J67" s="151">
        <f>J23/'Dinámica de la deuda'!J$12*100</f>
        <v>35.061412593484654</v>
      </c>
      <c r="K67" s="151">
        <f>K23/'Dinámica de la deuda'!K$12*100</f>
        <v>34.565813217109927</v>
      </c>
      <c r="L67" s="151">
        <f>L23/'Dinámica de la deuda'!L$12*100</f>
        <v>35.593427200762818</v>
      </c>
      <c r="M67" s="151">
        <f>M23/'Dinámica de la deuda'!M$12*100</f>
        <v>35.838051541705333</v>
      </c>
      <c r="N67" s="151">
        <f>N23/'Dinámica de la deuda'!N$12*100</f>
        <v>32.79279308285691</v>
      </c>
      <c r="O67" s="151">
        <f>O23/'Dinámica de la deuda'!O$12*100</f>
        <v>31.421290300055354</v>
      </c>
      <c r="P67" s="151">
        <f>P23/'Dinámica de la deuda'!P$12*100</f>
        <v>32.46176171966296</v>
      </c>
      <c r="Q67" s="151">
        <f>Q23/'Dinámica de la deuda'!Q$12*100</f>
        <v>35.365193457176886</v>
      </c>
      <c r="R67" s="151">
        <f>R23/'Dinámica de la deuda'!R$12*100</f>
        <v>40.787135563589985</v>
      </c>
      <c r="S67" s="151">
        <f>S23/'Dinámica de la deuda'!S$12*100</f>
        <v>42.520758160683975</v>
      </c>
      <c r="T67" s="151">
        <f>T23/'Dinámica de la deuda'!T$12*100</f>
        <v>43.372262608382265</v>
      </c>
      <c r="U67" s="151">
        <f>U23/'Dinámica de la deuda'!U$12*100</f>
        <v>46.259012318115751</v>
      </c>
      <c r="V67" s="151">
        <f>V23/'Dinámica de la deuda'!V$12*100</f>
        <v>46.684563798090508</v>
      </c>
      <c r="W67" s="151">
        <f>W23/'Dinámica de la deuda'!W$12*100</f>
        <v>59.123729407808604</v>
      </c>
      <c r="X67" s="151">
        <f>X23/'Dinámica de la deuda'!X$12*100</f>
        <v>59.010853198128558</v>
      </c>
      <c r="Y67" s="152">
        <f>Y23/'Dinámica de la deuda'!Y$12*100</f>
        <v>57.652052619608639</v>
      </c>
      <c r="Z67" s="104" t="e">
        <f>Z23/'Dinámica de la deuda'!Z$12*100</f>
        <v>#DIV/0!</v>
      </c>
      <c r="AA67" s="104" t="e">
        <f>AA23/'Dinámica de la deuda'!AA$12*100</f>
        <v>#DIV/0!</v>
      </c>
      <c r="AB67" s="104" t="e">
        <f>AB23/'Dinámica de la deuda'!AB$12*100</f>
        <v>#DIV/0!</v>
      </c>
      <c r="AC67" s="104" t="e">
        <f>AC23/'Dinámica de la deuda'!AC$12*100</f>
        <v>#DIV/0!</v>
      </c>
      <c r="AD67" s="104" t="e">
        <f>AD23/'Dinámica de la deuda'!AD$12*100</f>
        <v>#DIV/0!</v>
      </c>
      <c r="AE67" s="104" t="e">
        <f>AE23/'Dinámica de la deuda'!AE$12*100</f>
        <v>#DIV/0!</v>
      </c>
      <c r="AF67" s="104" t="e">
        <f>AF23/'Dinámica de la deuda'!AF$12*100</f>
        <v>#DIV/0!</v>
      </c>
      <c r="AG67" s="104" t="e">
        <f>AG23/'Dinámica de la deuda'!AG$12*100</f>
        <v>#DIV/0!</v>
      </c>
      <c r="AH67" s="104" t="e">
        <f>AH23/'Dinámica de la deuda'!AH$12*100</f>
        <v>#DIV/0!</v>
      </c>
      <c r="AI67" s="104" t="e">
        <f>AI23/'Dinámica de la deuda'!AI$12*100</f>
        <v>#DIV/0!</v>
      </c>
      <c r="AJ67" s="104" t="e">
        <f>AJ23/'Dinámica de la deuda'!AJ$12*100</f>
        <v>#DIV/0!</v>
      </c>
      <c r="AK67" s="105" t="e">
        <f>AK23/'Dinámica de la deuda'!AK$12*100</f>
        <v>#DIV/0!</v>
      </c>
      <c r="AL67" s="34"/>
      <c r="AM67" s="445"/>
      <c r="AN67" s="445"/>
      <c r="AO67" s="445"/>
      <c r="AP67" s="445"/>
      <c r="AQ67" s="445"/>
      <c r="AR67" s="445"/>
      <c r="AS67" s="445"/>
      <c r="AT67" s="445"/>
      <c r="AU67" s="445"/>
      <c r="AV67" s="445"/>
      <c r="AW67" s="445"/>
      <c r="AX67" s="445"/>
      <c r="AY67" s="445"/>
    </row>
    <row r="68" spans="1:52">
      <c r="A68" s="91" t="s">
        <v>20</v>
      </c>
      <c r="B68" s="153">
        <f>B24/'Dinámica de la deuda'!B$12*100</f>
        <v>18.935565586753082</v>
      </c>
      <c r="C68" s="153">
        <f>C24/'Dinámica de la deuda'!C$12*100</f>
        <v>20.792511049887729</v>
      </c>
      <c r="D68" s="153">
        <f>D24/'Dinámica de la deuda'!D$12*100</f>
        <v>21.69778702162526</v>
      </c>
      <c r="E68" s="153">
        <f>E24/'Dinámica de la deuda'!E$12*100</f>
        <v>25.019090765696312</v>
      </c>
      <c r="F68" s="153">
        <f>F24/'Dinámica de la deuda'!F$12*100</f>
        <v>24.642275114724697</v>
      </c>
      <c r="G68" s="153">
        <f>G24/'Dinámica de la deuda'!G$12*100</f>
        <v>24.688262973523194</v>
      </c>
      <c r="H68" s="153">
        <f>H24/'Dinámica de la deuda'!H$12*100</f>
        <v>27.281511230694399</v>
      </c>
      <c r="I68" s="153">
        <f>I24/'Dinámica de la deuda'!I$12*100</f>
        <v>25.588178220707647</v>
      </c>
      <c r="J68" s="153">
        <f>J24/'Dinámica de la deuda'!J$12*100</f>
        <v>24.845123933978254</v>
      </c>
      <c r="K68" s="153">
        <f>K24/'Dinámica de la deuda'!K$12*100</f>
        <v>24.078962486639877</v>
      </c>
      <c r="L68" s="153">
        <f>L24/'Dinámica de la deuda'!L$12*100</f>
        <v>25.6300410696639</v>
      </c>
      <c r="M68" s="153">
        <f>M24/'Dinámica de la deuda'!M$12*100</f>
        <v>26.569212594698637</v>
      </c>
      <c r="N68" s="153">
        <f>N24/'Dinámica de la deuda'!N$12*100</f>
        <v>24.538100375393331</v>
      </c>
      <c r="O68" s="153">
        <f>O24/'Dinámica de la deuda'!O$12*100</f>
        <v>24.398754999474995</v>
      </c>
      <c r="P68" s="153">
        <f>P24/'Dinámica de la deuda'!P$12*100</f>
        <v>24.86875956288829</v>
      </c>
      <c r="Q68" s="153">
        <f>Q24/'Dinámica de la deuda'!Q$12*100</f>
        <v>25.262990139287815</v>
      </c>
      <c r="R68" s="153">
        <f>R24/'Dinámica de la deuda'!R$12*100</f>
        <v>26.360604589432612</v>
      </c>
      <c r="S68" s="153">
        <f>S24/'Dinámica de la deuda'!S$12*100</f>
        <v>28.625058541699467</v>
      </c>
      <c r="T68" s="153">
        <f>T24/'Dinámica de la deuda'!T$12*100</f>
        <v>29.127676048746498</v>
      </c>
      <c r="U68" s="153">
        <f>U24/'Dinámica de la deuda'!U$12*100</f>
        <v>30.641158898012783</v>
      </c>
      <c r="V68" s="153">
        <f>V24/'Dinámica de la deuda'!V$12*100</f>
        <v>33.028538758320643</v>
      </c>
      <c r="W68" s="153">
        <f>W24/'Dinámica de la deuda'!W$12*100</f>
        <v>39.120462662588132</v>
      </c>
      <c r="X68" s="153">
        <f>X24/'Dinámica de la deuda'!X$12*100</f>
        <v>36.138214769784717</v>
      </c>
      <c r="Y68" s="154">
        <f>Y24/'Dinámica de la deuda'!Y$12*100</f>
        <v>33.817764134673709</v>
      </c>
      <c r="Z68" s="33">
        <f>Z24/'Dinámica de la deuda'!Z$12*100</f>
        <v>31.608817064063881</v>
      </c>
      <c r="AA68" s="33" t="e">
        <f>AA24/'Dinámica de la deuda'!AA$12*100</f>
        <v>#DIV/0!</v>
      </c>
      <c r="AB68" s="33" t="e">
        <f>AB24/'Dinámica de la deuda'!AB$12*100</f>
        <v>#DIV/0!</v>
      </c>
      <c r="AC68" s="33" t="e">
        <f>AC24/'Dinámica de la deuda'!AC$12*100</f>
        <v>#DIV/0!</v>
      </c>
      <c r="AD68" s="33" t="e">
        <f>AD24/'Dinámica de la deuda'!AD$12*100</f>
        <v>#DIV/0!</v>
      </c>
      <c r="AE68" s="33" t="e">
        <f>AE24/'Dinámica de la deuda'!AE$12*100</f>
        <v>#DIV/0!</v>
      </c>
      <c r="AF68" s="33" t="e">
        <f>AF24/'Dinámica de la deuda'!AF$12*100</f>
        <v>#DIV/0!</v>
      </c>
      <c r="AG68" s="33" t="e">
        <f>AG24/'Dinámica de la deuda'!AG$12*100</f>
        <v>#DIV/0!</v>
      </c>
      <c r="AH68" s="33" t="e">
        <f>AH24/'Dinámica de la deuda'!AH$12*100</f>
        <v>#DIV/0!</v>
      </c>
      <c r="AI68" s="33" t="e">
        <f>AI24/'Dinámica de la deuda'!AI$12*100</f>
        <v>#DIV/0!</v>
      </c>
      <c r="AJ68" s="33" t="e">
        <f>AJ24/'Dinámica de la deuda'!AJ$12*100</f>
        <v>#DIV/0!</v>
      </c>
      <c r="AK68" s="106" t="e">
        <f>AK24/'Dinámica de la deuda'!AK$12*100</f>
        <v>#DIV/0!</v>
      </c>
      <c r="AL68" s="34"/>
      <c r="AM68" s="445"/>
      <c r="AN68" s="445"/>
      <c r="AO68" s="445"/>
      <c r="AP68" s="445"/>
      <c r="AQ68" s="445"/>
      <c r="AR68" s="445"/>
      <c r="AS68" s="445"/>
      <c r="AT68" s="445"/>
      <c r="AU68" s="445"/>
      <c r="AV68" s="445"/>
      <c r="AW68" s="445"/>
      <c r="AX68" s="445"/>
      <c r="AY68" s="445"/>
    </row>
    <row r="69" spans="1:52" s="93" customFormat="1">
      <c r="A69" s="96" t="s">
        <v>21</v>
      </c>
      <c r="B69" s="155">
        <f>B25/'Dinámica de la deuda'!B$12*100</f>
        <v>15.897802508330065</v>
      </c>
      <c r="C69" s="155">
        <f>C25/'Dinámica de la deuda'!C$12*100</f>
        <v>18.767434056917271</v>
      </c>
      <c r="D69" s="155">
        <f>D25/'Dinámica de la deuda'!D$12*100</f>
        <v>20.23788983660317</v>
      </c>
      <c r="E69" s="155">
        <f>E25/'Dinámica de la deuda'!E$12*100</f>
        <v>23.29155244087417</v>
      </c>
      <c r="F69" s="155">
        <f>F25/'Dinámica de la deuda'!F$12*100</f>
        <v>23.450604909756258</v>
      </c>
      <c r="G69" s="155">
        <f>G25/'Dinámica de la deuda'!G$12*100</f>
        <v>23.071881989344966</v>
      </c>
      <c r="H69" s="155">
        <f>H25/'Dinámica de la deuda'!H$12*100</f>
        <v>25.996920526367241</v>
      </c>
      <c r="I69" s="155">
        <f>I25/'Dinámica de la deuda'!I$12*100</f>
        <v>24.368034032211323</v>
      </c>
      <c r="J69" s="155">
        <f>J25/'Dinámica de la deuda'!J$12*100</f>
        <v>24.159350044296023</v>
      </c>
      <c r="K69" s="155">
        <f>K25/'Dinámica de la deuda'!K$12*100</f>
        <v>23.383645962602174</v>
      </c>
      <c r="L69" s="155">
        <f>L25/'Dinámica de la deuda'!L$12*100</f>
        <v>24.676452253745943</v>
      </c>
      <c r="M69" s="155">
        <f>M25/'Dinámica de la deuda'!M$12*100</f>
        <v>25.414157533767266</v>
      </c>
      <c r="N69" s="155">
        <f>N25/'Dinámica de la deuda'!N$12*100</f>
        <v>22.935744033634283</v>
      </c>
      <c r="O69" s="155">
        <f>O25/'Dinámica de la deuda'!O$12*100</f>
        <v>22.651761358112882</v>
      </c>
      <c r="P69" s="155">
        <f>P25/'Dinámica de la deuda'!P$12*100</f>
        <v>23.14294780783619</v>
      </c>
      <c r="Q69" s="155">
        <f>Q25/'Dinámica de la deuda'!Q$12*100</f>
        <v>23.919298636871059</v>
      </c>
      <c r="R69" s="155">
        <f>R25/'Dinámica de la deuda'!R$12*100</f>
        <v>25.375370865083656</v>
      </c>
      <c r="S69" s="155">
        <f>S25/'Dinámica de la deuda'!S$12*100</f>
        <v>27.978811699797145</v>
      </c>
      <c r="T69" s="155">
        <f>T25/'Dinámica de la deuda'!T$12*100</f>
        <v>28.714397089983159</v>
      </c>
      <c r="U69" s="155">
        <f>U25/'Dinámica de la deuda'!U$12*100</f>
        <v>30.556458379519235</v>
      </c>
      <c r="V69" s="155">
        <f>V25/'Dinámica de la deuda'!V$12*100</f>
        <v>31.323787714372415</v>
      </c>
      <c r="W69" s="155">
        <f>W25/'Dinámica de la deuda'!W$12*100</f>
        <v>37.542769534381399</v>
      </c>
      <c r="X69" s="155">
        <f>X25/'Dinámica de la deuda'!X$12*100</f>
        <v>35.093973417600537</v>
      </c>
      <c r="Y69" s="156">
        <f>Y25/'Dinámica de la deuda'!Y$12*100</f>
        <v>33.526359423474084</v>
      </c>
      <c r="Z69" s="107">
        <f>Z25/'Dinámica de la deuda'!Z$12*100</f>
        <v>31.608817064063881</v>
      </c>
      <c r="AA69" s="107" t="e">
        <f>AA25/'Dinámica de la deuda'!AA$12*100</f>
        <v>#DIV/0!</v>
      </c>
      <c r="AB69" s="107" t="e">
        <f>AB25/'Dinámica de la deuda'!AB$12*100</f>
        <v>#DIV/0!</v>
      </c>
      <c r="AC69" s="107" t="e">
        <f>AC25/'Dinámica de la deuda'!AC$12*100</f>
        <v>#DIV/0!</v>
      </c>
      <c r="AD69" s="107" t="e">
        <f>AD25/'Dinámica de la deuda'!AD$12*100</f>
        <v>#DIV/0!</v>
      </c>
      <c r="AE69" s="107" t="e">
        <f>AE25/'Dinámica de la deuda'!AE$12*100</f>
        <v>#DIV/0!</v>
      </c>
      <c r="AF69" s="107" t="e">
        <f>AF25/'Dinámica de la deuda'!AF$12*100</f>
        <v>#DIV/0!</v>
      </c>
      <c r="AG69" s="107" t="e">
        <f>AG25/'Dinámica de la deuda'!AG$12*100</f>
        <v>#DIV/0!</v>
      </c>
      <c r="AH69" s="107" t="e">
        <f>AH25/'Dinámica de la deuda'!AH$12*100</f>
        <v>#DIV/0!</v>
      </c>
      <c r="AI69" s="107" t="e">
        <f>AI25/'Dinámica de la deuda'!AI$12*100</f>
        <v>#DIV/0!</v>
      </c>
      <c r="AJ69" s="107" t="e">
        <f>AJ25/'Dinámica de la deuda'!AJ$12*100</f>
        <v>#DIV/0!</v>
      </c>
      <c r="AK69" s="108" t="e">
        <f>AK25/'Dinámica de la deuda'!AK$12*100</f>
        <v>#DIV/0!</v>
      </c>
      <c r="AL69" s="34"/>
      <c r="AM69" s="445"/>
      <c r="AN69" s="445"/>
      <c r="AO69" s="445"/>
      <c r="AP69" s="445"/>
      <c r="AQ69" s="445"/>
      <c r="AR69" s="445"/>
      <c r="AS69" s="445"/>
      <c r="AT69" s="445"/>
      <c r="AU69" s="445"/>
      <c r="AV69" s="445"/>
      <c r="AW69" s="445"/>
      <c r="AX69" s="445"/>
      <c r="AY69" s="445"/>
    </row>
    <row r="70" spans="1:52">
      <c r="A70" s="97" t="s">
        <v>22</v>
      </c>
      <c r="B70" s="157">
        <f>B26/'Dinámica de la deuda'!B$12*100</f>
        <v>14.009242280515959</v>
      </c>
      <c r="C70" s="157">
        <f>C26/'Dinámica de la deuda'!C$12*100</f>
        <v>15.189045005013663</v>
      </c>
      <c r="D70" s="157">
        <f>D26/'Dinámica de la deuda'!D$12*100</f>
        <v>17.18850953911771</v>
      </c>
      <c r="E70" s="157">
        <f>E26/'Dinámica de la deuda'!E$12*100</f>
        <v>21.275617510528257</v>
      </c>
      <c r="F70" s="157">
        <f>F26/'Dinámica de la deuda'!F$12*100</f>
        <v>20.538594320161359</v>
      </c>
      <c r="G70" s="157">
        <f>G26/'Dinámica de la deuda'!G$12*100</f>
        <v>16.757567789493784</v>
      </c>
      <c r="H70" s="157">
        <f>H26/'Dinámica de la deuda'!H$12*100</f>
        <v>13.161461415677897</v>
      </c>
      <c r="I70" s="157">
        <f>I26/'Dinámica de la deuda'!I$12*100</f>
        <v>12.631434973351388</v>
      </c>
      <c r="J70" s="157">
        <f>J26/'Dinámica de la deuda'!J$12*100</f>
        <v>10.902062549188628</v>
      </c>
      <c r="K70" s="157">
        <f>K26/'Dinámica de la deuda'!K$12*100</f>
        <v>11.182167254507753</v>
      </c>
      <c r="L70" s="157">
        <f>L26/'Dinámica de la deuda'!L$12*100</f>
        <v>10.916974947016875</v>
      </c>
      <c r="M70" s="157">
        <f>M26/'Dinámica de la deuda'!M$12*100</f>
        <v>10.423894007938069</v>
      </c>
      <c r="N70" s="157">
        <f>N26/'Dinámica de la deuda'!N$12*100</f>
        <v>9.8570490492226295</v>
      </c>
      <c r="O70" s="157">
        <f>O26/'Dinámica de la deuda'!O$12*100</f>
        <v>8.76952894194247</v>
      </c>
      <c r="P70" s="157">
        <f>P26/'Dinámica de la deuda'!P$12*100</f>
        <v>9.318813911826771</v>
      </c>
      <c r="Q70" s="157">
        <f>Q26/'Dinámica de la deuda'!Q$12*100</f>
        <v>11.445894820305821</v>
      </c>
      <c r="R70" s="157">
        <f>R26/'Dinámica de la deuda'!R$12*100</f>
        <v>15.411764698506328</v>
      </c>
      <c r="S70" s="157">
        <f>S26/'Dinámica de la deuda'!S$12*100</f>
        <v>14.541946460886832</v>
      </c>
      <c r="T70" s="157">
        <f>T26/'Dinámica de la deuda'!T$12*100</f>
        <v>14.657865518399102</v>
      </c>
      <c r="U70" s="157">
        <f>U26/'Dinámica de la deuda'!U$12*100</f>
        <v>15.702553938596514</v>
      </c>
      <c r="V70" s="157">
        <f>V26/'Dinámica de la deuda'!V$12*100</f>
        <v>15.360776083718095</v>
      </c>
      <c r="W70" s="157">
        <f>W26/'Dinámica de la deuda'!W$12*100</f>
        <v>21.580959873427201</v>
      </c>
      <c r="X70" s="157">
        <f>X26/'Dinámica de la deuda'!X$12*100</f>
        <v>23.916879780528017</v>
      </c>
      <c r="Y70" s="158">
        <f>Y26/'Dinámica de la deuda'!Y$12*100</f>
        <v>24.125693196134556</v>
      </c>
      <c r="Z70" s="113" t="e">
        <f>Z26/'Dinámica de la deuda'!Z$12*100</f>
        <v>#DIV/0!</v>
      </c>
      <c r="AA70" s="114" t="e">
        <f>AA26/'Dinámica de la deuda'!AA$12*100</f>
        <v>#DIV/0!</v>
      </c>
      <c r="AB70" s="114" t="e">
        <f>AB26/'Dinámica de la deuda'!AB$12*100</f>
        <v>#DIV/0!</v>
      </c>
      <c r="AC70" s="114" t="e">
        <f>AC26/'Dinámica de la deuda'!AC$12*100</f>
        <v>#DIV/0!</v>
      </c>
      <c r="AD70" s="114" t="e">
        <f>AD26/'Dinámica de la deuda'!AD$12*100</f>
        <v>#DIV/0!</v>
      </c>
      <c r="AE70" s="113" t="e">
        <f>AE26/'Dinámica de la deuda'!AE$12*100</f>
        <v>#DIV/0!</v>
      </c>
      <c r="AF70" s="113" t="e">
        <f>AF26/'Dinámica de la deuda'!AF$12*100</f>
        <v>#DIV/0!</v>
      </c>
      <c r="AG70" s="113" t="e">
        <f>AG26/'Dinámica de la deuda'!AG$12*100</f>
        <v>#DIV/0!</v>
      </c>
      <c r="AH70" s="113" t="e">
        <f>AH26/'Dinámica de la deuda'!AH$12*100</f>
        <v>#DIV/0!</v>
      </c>
      <c r="AI70" s="113" t="e">
        <f>AI26/'Dinámica de la deuda'!AI$12*100</f>
        <v>#DIV/0!</v>
      </c>
      <c r="AJ70" s="113" t="e">
        <f>AJ26/'Dinámica de la deuda'!AJ$12*100</f>
        <v>#DIV/0!</v>
      </c>
      <c r="AK70" s="115" t="e">
        <f>AK26/'Dinámica de la deuda'!AK$12*100</f>
        <v>#DIV/0!</v>
      </c>
      <c r="AL70" s="34"/>
      <c r="AM70" s="445"/>
      <c r="AN70" s="445"/>
      <c r="AO70" s="445"/>
      <c r="AP70" s="445"/>
      <c r="AQ70" s="445"/>
      <c r="AR70" s="445"/>
      <c r="AS70" s="445"/>
      <c r="AT70" s="445"/>
      <c r="AU70" s="445"/>
      <c r="AV70" s="445"/>
      <c r="AW70" s="445"/>
      <c r="AX70" s="445"/>
      <c r="AY70" s="445"/>
    </row>
    <row r="71" spans="1:52">
      <c r="A71" s="5" t="s">
        <v>23</v>
      </c>
      <c r="P71" s="33"/>
      <c r="Q71" s="33"/>
      <c r="R71" s="33"/>
      <c r="S71" s="33"/>
      <c r="W71" s="33"/>
      <c r="X71" s="33"/>
      <c r="Y71" s="33"/>
      <c r="Z71" s="33"/>
      <c r="AM71" s="445"/>
      <c r="AN71" s="445"/>
      <c r="AO71" s="445"/>
      <c r="AP71" s="445"/>
      <c r="AQ71" s="445"/>
      <c r="AR71" s="445"/>
      <c r="AS71" s="445"/>
      <c r="AT71" s="445"/>
      <c r="AU71" s="445"/>
      <c r="AV71" s="445"/>
      <c r="AW71" s="445"/>
      <c r="AX71" s="445"/>
      <c r="AY71" s="445"/>
    </row>
    <row r="72" spans="1:52">
      <c r="A72" s="5" t="s">
        <v>24</v>
      </c>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84"/>
      <c r="AA72" s="117"/>
      <c r="AB72" s="117"/>
      <c r="AC72" s="117"/>
      <c r="AD72" s="117"/>
      <c r="AE72" s="117"/>
      <c r="AF72" s="117"/>
      <c r="AG72" s="117"/>
      <c r="AH72" s="117"/>
      <c r="AI72" s="117"/>
      <c r="AJ72" s="117"/>
      <c r="AK72" s="117"/>
      <c r="AM72" s="445"/>
      <c r="AN72" s="445"/>
      <c r="AO72" s="445"/>
      <c r="AP72" s="445"/>
      <c r="AQ72" s="445"/>
      <c r="AR72" s="445"/>
      <c r="AS72" s="445"/>
      <c r="AT72" s="445"/>
      <c r="AU72" s="445"/>
      <c r="AV72" s="445"/>
      <c r="AW72" s="445"/>
      <c r="AX72" s="445"/>
      <c r="AY72" s="445"/>
    </row>
    <row r="73" spans="1:52">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84"/>
      <c r="AA73" s="117"/>
      <c r="AB73" s="117"/>
      <c r="AC73" s="117"/>
      <c r="AD73" s="117"/>
      <c r="AE73" s="117"/>
      <c r="AF73" s="117"/>
      <c r="AG73" s="117"/>
      <c r="AH73" s="117"/>
      <c r="AI73" s="117"/>
      <c r="AJ73" s="117"/>
      <c r="AK73" s="117"/>
      <c r="AM73" s="445"/>
      <c r="AN73" s="445"/>
      <c r="AO73" s="445"/>
      <c r="AP73" s="445"/>
      <c r="AQ73" s="445"/>
      <c r="AR73" s="445"/>
      <c r="AS73" s="445"/>
      <c r="AT73" s="445"/>
      <c r="AU73" s="445"/>
      <c r="AV73" s="445"/>
      <c r="AW73" s="445"/>
      <c r="AX73" s="445"/>
      <c r="AY73" s="445"/>
    </row>
    <row r="74" spans="1:52">
      <c r="A74" s="41" t="s">
        <v>28</v>
      </c>
      <c r="B74" s="42">
        <v>36525</v>
      </c>
      <c r="C74" s="42">
        <v>36891</v>
      </c>
      <c r="D74" s="42">
        <v>37256</v>
      </c>
      <c r="E74" s="42">
        <v>37621</v>
      </c>
      <c r="F74" s="42">
        <v>37986</v>
      </c>
      <c r="G74" s="42">
        <v>38352</v>
      </c>
      <c r="H74" s="42">
        <v>38717</v>
      </c>
      <c r="I74" s="42">
        <v>39082</v>
      </c>
      <c r="J74" s="42">
        <v>39447</v>
      </c>
      <c r="K74" s="42">
        <v>39813</v>
      </c>
      <c r="L74" s="42">
        <v>40178</v>
      </c>
      <c r="M74" s="42">
        <v>40543</v>
      </c>
      <c r="N74" s="42">
        <v>40908</v>
      </c>
      <c r="O74" s="42">
        <v>41274</v>
      </c>
      <c r="P74" s="42">
        <v>41639</v>
      </c>
      <c r="Q74" s="42">
        <v>42004</v>
      </c>
      <c r="R74" s="42">
        <v>42369</v>
      </c>
      <c r="S74" s="42">
        <v>42735</v>
      </c>
      <c r="T74" s="42">
        <v>43100</v>
      </c>
      <c r="U74" s="42">
        <v>43465</v>
      </c>
      <c r="V74" s="42">
        <v>43830</v>
      </c>
      <c r="W74" s="42">
        <v>44196</v>
      </c>
      <c r="X74" s="42">
        <v>44561</v>
      </c>
      <c r="Y74" s="139">
        <v>44926</v>
      </c>
      <c r="Z74" s="42">
        <v>45291</v>
      </c>
      <c r="AA74" s="42">
        <v>45657</v>
      </c>
      <c r="AB74" s="42">
        <v>46022</v>
      </c>
      <c r="AC74" s="42">
        <v>46387</v>
      </c>
      <c r="AD74" s="42">
        <v>46752</v>
      </c>
      <c r="AE74" s="42">
        <v>47118</v>
      </c>
      <c r="AF74" s="42">
        <v>47483</v>
      </c>
      <c r="AG74" s="42">
        <v>47848</v>
      </c>
      <c r="AH74" s="42">
        <v>48213</v>
      </c>
      <c r="AI74" s="42">
        <v>48579</v>
      </c>
      <c r="AJ74" s="42">
        <v>48944</v>
      </c>
      <c r="AK74" s="42">
        <v>49309</v>
      </c>
      <c r="AM74" s="89"/>
      <c r="AN74" s="89"/>
      <c r="AO74" s="89"/>
      <c r="AP74" s="89"/>
      <c r="AQ74" s="89"/>
      <c r="AR74" s="89"/>
      <c r="AS74" s="89"/>
      <c r="AT74" s="89"/>
      <c r="AU74" s="89"/>
      <c r="AV74" s="89"/>
      <c r="AW74" s="89"/>
      <c r="AX74" s="89"/>
      <c r="AY74" s="89"/>
    </row>
    <row r="75" spans="1:52">
      <c r="A75" s="118" t="s">
        <v>29</v>
      </c>
      <c r="B75" s="161">
        <f>B31/'Dinámica de la deuda'!B$12*100</f>
        <v>1.0287388903312702</v>
      </c>
      <c r="C75" s="161">
        <f>C31/'Dinámica de la deuda'!C$12*100</f>
        <v>1.1239199990827775</v>
      </c>
      <c r="D75" s="161">
        <f>D31/'Dinámica de la deuda'!D$12*100</f>
        <v>1.4216946715108461</v>
      </c>
      <c r="E75" s="161">
        <f>E31/'Dinámica de la deuda'!E$12*100</f>
        <v>1.5248112198145853</v>
      </c>
      <c r="F75" s="161">
        <f>F31/'Dinámica de la deuda'!F$12*100</f>
        <v>1.6219700216904653</v>
      </c>
      <c r="G75" s="161">
        <f>G31/'Dinámica de la deuda'!G$12*100</f>
        <v>1.4280184934916831</v>
      </c>
      <c r="H75" s="161">
        <f>H31/'Dinámica de la deuda'!H$12*100</f>
        <v>1.2628013686607062</v>
      </c>
      <c r="I75" s="161">
        <f>I31/'Dinámica de la deuda'!I$12*100</f>
        <v>1.0155360179218536</v>
      </c>
      <c r="J75" s="161">
        <f>J31/'Dinámica de la deuda'!J$12*100</f>
        <v>0.90046880883996494</v>
      </c>
      <c r="K75" s="161">
        <f>K31/'Dinámica de la deuda'!K$12*100</f>
        <v>0.76843379596683437</v>
      </c>
      <c r="L75" s="161">
        <f>L31/'Dinámica de la deuda'!L$12*100</f>
        <v>0.76676521648671025</v>
      </c>
      <c r="M75" s="161">
        <f>M31/'Dinámica de la deuda'!M$12*100</f>
        <v>0.67116446628727688</v>
      </c>
      <c r="N75" s="161">
        <f>N31/'Dinámica de la deuda'!N$12*100</f>
        <v>0.57637437665366875</v>
      </c>
      <c r="O75" s="161">
        <f>O31/'Dinámica de la deuda'!O$12*100</f>
        <v>0.53081042058811001</v>
      </c>
      <c r="P75" s="161">
        <f>P31/'Dinámica de la deuda'!P$12*100</f>
        <v>0.49560643974568802</v>
      </c>
      <c r="Q75" s="161">
        <f>Q31/'Dinámica de la deuda'!Q$12*100</f>
        <v>0.49095508911681307</v>
      </c>
      <c r="R75" s="161">
        <f>R31/'Dinámica de la deuda'!R$12*100</f>
        <v>0.66817794800230979</v>
      </c>
      <c r="S75" s="161">
        <f>S31/'Dinámica de la deuda'!S$12*100</f>
        <v>0.69016321675165049</v>
      </c>
      <c r="T75" s="161">
        <f>T31/'Dinámica de la deuda'!T$12*100</f>
        <v>0.68543471082861585</v>
      </c>
      <c r="U75" s="161">
        <f>U31/'Dinámica de la deuda'!U$12*100</f>
        <v>0.67137165513444563</v>
      </c>
      <c r="V75" s="161">
        <f>V31/'Dinámica de la deuda'!V$12*100</f>
        <v>0.71757703418527619</v>
      </c>
      <c r="W75" s="162">
        <f>W31/'Dinámica de la deuda'!W$12*100</f>
        <v>0.8394882245626839</v>
      </c>
      <c r="X75" s="162">
        <f>X31/'Dinámica de la deuda'!X$12*100</f>
        <v>0.78556445579170908</v>
      </c>
      <c r="Y75" s="163">
        <f>Y31/'Dinámica de la deuda'!Y$12*100</f>
        <v>0.75498869434282045</v>
      </c>
      <c r="Z75" s="124">
        <f>Z31/'Dinámica de la deuda'!Z$12*100</f>
        <v>0</v>
      </c>
      <c r="AA75" s="124" t="e">
        <f>AA31/'Dinámica de la deuda'!AA$12*100</f>
        <v>#DIV/0!</v>
      </c>
      <c r="AB75" s="124" t="e">
        <f>AB31/'Dinámica de la deuda'!AB$12*100</f>
        <v>#DIV/0!</v>
      </c>
      <c r="AC75" s="124" t="e">
        <f>AC31/'Dinámica de la deuda'!AC$12*100</f>
        <v>#DIV/0!</v>
      </c>
      <c r="AD75" s="124" t="e">
        <f>AD31/'Dinámica de la deuda'!AD$12*100</f>
        <v>#DIV/0!</v>
      </c>
      <c r="AE75" s="124" t="e">
        <f>AE31/'Dinámica de la deuda'!AE$12*100</f>
        <v>#DIV/0!</v>
      </c>
      <c r="AF75" s="124" t="e">
        <f>AF31/'Dinámica de la deuda'!AF$12*100</f>
        <v>#DIV/0!</v>
      </c>
      <c r="AG75" s="124" t="e">
        <f>AG31/'Dinámica de la deuda'!AG$12*100</f>
        <v>#DIV/0!</v>
      </c>
      <c r="AH75" s="124" t="e">
        <f>AH31/'Dinámica de la deuda'!AH$12*100</f>
        <v>#DIV/0!</v>
      </c>
      <c r="AI75" s="124" t="e">
        <f>AI31/'Dinámica de la deuda'!AI$12*100</f>
        <v>#DIV/0!</v>
      </c>
      <c r="AJ75" s="124" t="e">
        <f>AJ31/'Dinámica de la deuda'!AJ$12*100</f>
        <v>#DIV/0!</v>
      </c>
      <c r="AK75" s="142" t="e">
        <f>AK31/'Dinámica de la deuda'!AK$12*100</f>
        <v>#DIV/0!</v>
      </c>
      <c r="AM75" s="89"/>
      <c r="AN75" s="89"/>
      <c r="AO75" s="89"/>
      <c r="AP75" s="89"/>
      <c r="AQ75" s="89"/>
      <c r="AR75" s="89"/>
      <c r="AS75" s="89"/>
      <c r="AT75" s="89"/>
      <c r="AU75" s="89"/>
      <c r="AV75" s="89"/>
      <c r="AW75" s="89"/>
      <c r="AX75" s="89"/>
      <c r="AY75" s="89"/>
    </row>
    <row r="76" spans="1:52">
      <c r="A76" s="119" t="s">
        <v>31</v>
      </c>
      <c r="B76" s="164">
        <f>B32/'Dinámica de la deuda'!B$12*100</f>
        <v>2.2870026879999199</v>
      </c>
      <c r="C76" s="164">
        <f>C32/'Dinámica de la deuda'!C$12*100</f>
        <v>2.178606616770828</v>
      </c>
      <c r="D76" s="164">
        <f>D32/'Dinámica de la deuda'!D$12*100</f>
        <v>2.0005997012859313</v>
      </c>
      <c r="E76" s="164">
        <f>E32/'Dinámica de la deuda'!E$12*100</f>
        <v>1.8024369099049489</v>
      </c>
      <c r="F76" s="164">
        <f>F32/'Dinámica de la deuda'!F$12*100</f>
        <v>1.9788956979917893</v>
      </c>
      <c r="G76" s="164">
        <f>G32/'Dinámica de la deuda'!G$12*100</f>
        <v>1.9648569025291593</v>
      </c>
      <c r="H76" s="164">
        <f>H32/'Dinámica de la deuda'!H$12*100</f>
        <v>1.6609029239245616</v>
      </c>
      <c r="I76" s="164">
        <f>I32/'Dinámica de la deuda'!I$12*100</f>
        <v>2.4769076773509529</v>
      </c>
      <c r="J76" s="164">
        <f>J32/'Dinámica de la deuda'!J$12*100</f>
        <v>2.6038995886802514</v>
      </c>
      <c r="K76" s="164">
        <f>K32/'Dinámica de la deuda'!K$12*100</f>
        <v>2.1532002584427019</v>
      </c>
      <c r="L76" s="164">
        <f>L32/'Dinámica de la deuda'!L$12*100</f>
        <v>2.1406039779898345</v>
      </c>
      <c r="M76" s="164">
        <f>M32/'Dinámica de la deuda'!M$12*100</f>
        <v>1.9411902564395227</v>
      </c>
      <c r="N76" s="164">
        <f>N32/'Dinámica de la deuda'!N$12*100</f>
        <v>1.9496989744452871</v>
      </c>
      <c r="O76" s="164">
        <f>O32/'Dinámica de la deuda'!O$12*100</f>
        <v>1.8811963882759619</v>
      </c>
      <c r="P76" s="164">
        <f>P32/'Dinámica de la deuda'!P$12*100</f>
        <v>1.7175830272901145</v>
      </c>
      <c r="Q76" s="164">
        <f>Q32/'Dinámica de la deuda'!Q$12*100</f>
        <v>1.5530484867254668</v>
      </c>
      <c r="R76" s="164">
        <f>R32/'Dinámica de la deuda'!R$12*100</f>
        <v>1.5216253803684485</v>
      </c>
      <c r="S76" s="164">
        <f>S32/'Dinámica de la deuda'!S$12*100</f>
        <v>1.8021033537896061</v>
      </c>
      <c r="T76" s="164">
        <f>T32/'Dinámica de la deuda'!T$12*100</f>
        <v>1.8849909294443801</v>
      </c>
      <c r="U76" s="164">
        <f>U32/'Dinámica de la deuda'!U$12*100</f>
        <v>1.8339679703410634</v>
      </c>
      <c r="V76" s="164">
        <f>V32/'Dinámica de la deuda'!V$12*100</f>
        <v>1.8195131042162971</v>
      </c>
      <c r="W76" s="153">
        <f>W32/'Dinámica de la deuda'!W$12*100</f>
        <v>1.8263264779767714</v>
      </c>
      <c r="X76" s="153">
        <f>X32/'Dinámica de la deuda'!X$12*100</f>
        <v>2.0674395019227867</v>
      </c>
      <c r="Y76" s="154">
        <f>Y32/'Dinámica de la deuda'!Y$12*100</f>
        <v>2.4189062784690583</v>
      </c>
      <c r="Z76" s="33">
        <f>Z32/'Dinámica de la deuda'!Z$12*100</f>
        <v>0</v>
      </c>
      <c r="AA76" s="33" t="e">
        <f>AA32/'Dinámica de la deuda'!AA$12*100</f>
        <v>#DIV/0!</v>
      </c>
      <c r="AB76" s="33" t="e">
        <f>AB32/'Dinámica de la deuda'!AB$12*100</f>
        <v>#DIV/0!</v>
      </c>
      <c r="AC76" s="33" t="e">
        <f>AC32/'Dinámica de la deuda'!AC$12*100</f>
        <v>#DIV/0!</v>
      </c>
      <c r="AD76" s="33" t="e">
        <f>AD32/'Dinámica de la deuda'!AD$12*100</f>
        <v>#DIV/0!</v>
      </c>
      <c r="AE76" s="33" t="e">
        <f>AE32/'Dinámica de la deuda'!AE$12*100</f>
        <v>#DIV/0!</v>
      </c>
      <c r="AF76" s="33" t="e">
        <f>AF32/'Dinámica de la deuda'!AF$12*100</f>
        <v>#DIV/0!</v>
      </c>
      <c r="AG76" s="33" t="e">
        <f>AG32/'Dinámica de la deuda'!AG$12*100</f>
        <v>#DIV/0!</v>
      </c>
      <c r="AH76" s="33" t="e">
        <f>AH32/'Dinámica de la deuda'!AH$12*100</f>
        <v>#DIV/0!</v>
      </c>
      <c r="AI76" s="33" t="e">
        <f>AI32/'Dinámica de la deuda'!AI$12*100</f>
        <v>#DIV/0!</v>
      </c>
      <c r="AJ76" s="33" t="e">
        <f>AJ32/'Dinámica de la deuda'!AJ$12*100</f>
        <v>#DIV/0!</v>
      </c>
      <c r="AK76" s="106" t="e">
        <f>AK32/'Dinámica de la deuda'!AK$12*100</f>
        <v>#DIV/0!</v>
      </c>
      <c r="AM76" s="89"/>
      <c r="AN76" s="89"/>
      <c r="AO76" s="89"/>
      <c r="AP76" s="89"/>
      <c r="AQ76" s="89"/>
      <c r="AR76" s="89"/>
      <c r="AS76" s="89"/>
      <c r="AT76" s="89"/>
      <c r="AU76" s="89"/>
      <c r="AV76" s="89"/>
      <c r="AW76" s="89"/>
      <c r="AX76" s="89"/>
      <c r="AY76" s="89"/>
    </row>
    <row r="77" spans="1:52" s="93" customFormat="1">
      <c r="A77" s="120" t="s">
        <v>167</v>
      </c>
      <c r="B77" s="159"/>
      <c r="C77" s="159"/>
      <c r="D77" s="159"/>
      <c r="E77" s="159"/>
      <c r="F77" s="159"/>
      <c r="G77" s="159"/>
      <c r="H77" s="159"/>
      <c r="I77" s="159"/>
      <c r="J77" s="159"/>
      <c r="K77" s="159"/>
      <c r="L77" s="159"/>
      <c r="M77" s="159"/>
      <c r="N77" s="159"/>
      <c r="O77" s="159"/>
      <c r="P77" s="159"/>
      <c r="Q77" s="159"/>
      <c r="R77" s="159"/>
      <c r="S77" s="159"/>
      <c r="T77" s="159"/>
      <c r="U77" s="147"/>
      <c r="V77" s="147"/>
      <c r="W77" s="155"/>
      <c r="X77" s="155"/>
      <c r="Y77" s="156">
        <f>Y33/'Dinámica de la deuda'!Y$12*100</f>
        <v>-0.5768116626444928</v>
      </c>
      <c r="Z77" s="107">
        <f>Z33/'Dinámica de la deuda'!Z$12*100</f>
        <v>0</v>
      </c>
      <c r="AA77" s="107" t="e">
        <f>AA33/'Dinámica de la deuda'!AA$12*100</f>
        <v>#DIV/0!</v>
      </c>
      <c r="AB77" s="107" t="e">
        <f>AB33/'Dinámica de la deuda'!AB$12*100</f>
        <v>#DIV/0!</v>
      </c>
      <c r="AC77" s="107" t="e">
        <f>AC33/'Dinámica de la deuda'!AC$12*100</f>
        <v>#DIV/0!</v>
      </c>
      <c r="AD77" s="107" t="e">
        <f>AD33/'Dinámica de la deuda'!AD$12*100</f>
        <v>#DIV/0!</v>
      </c>
      <c r="AE77" s="107" t="e">
        <f>AE33/'Dinámica de la deuda'!AE$12*100</f>
        <v>#DIV/0!</v>
      </c>
      <c r="AF77" s="107" t="e">
        <f>AF33/'Dinámica de la deuda'!AF$12*100</f>
        <v>#DIV/0!</v>
      </c>
      <c r="AG77" s="107" t="e">
        <f>AG33/'Dinámica de la deuda'!AG$12*100</f>
        <v>#DIV/0!</v>
      </c>
      <c r="AH77" s="107" t="e">
        <f>AH33/'Dinámica de la deuda'!AH$12*100</f>
        <v>#DIV/0!</v>
      </c>
      <c r="AI77" s="107" t="e">
        <f>AI33/'Dinámica de la deuda'!AI$12*100</f>
        <v>#DIV/0!</v>
      </c>
      <c r="AJ77" s="107" t="e">
        <f>AJ33/'Dinámica de la deuda'!AJ$12*100</f>
        <v>#DIV/0!</v>
      </c>
      <c r="AK77" s="108" t="e">
        <f>AK33/'Dinámica de la deuda'!AK$12*100</f>
        <v>#DIV/0!</v>
      </c>
      <c r="AM77" s="89"/>
      <c r="AN77" s="89"/>
      <c r="AO77" s="89"/>
      <c r="AP77" s="89"/>
      <c r="AQ77" s="89"/>
      <c r="AR77" s="89"/>
      <c r="AS77" s="89"/>
      <c r="AT77" s="89"/>
      <c r="AU77" s="89"/>
      <c r="AV77" s="89"/>
      <c r="AW77" s="89"/>
      <c r="AX77" s="89"/>
      <c r="AY77" s="89"/>
    </row>
    <row r="78" spans="1:52">
      <c r="A78" s="119" t="s">
        <v>32</v>
      </c>
      <c r="B78" s="164">
        <f>B34/'Dinámica de la deuda'!B$12*100</f>
        <v>0</v>
      </c>
      <c r="C78" s="164">
        <f>C34/'Dinámica de la deuda'!C$12*100</f>
        <v>3.1687014997353977E-2</v>
      </c>
      <c r="D78" s="164">
        <f>D34/'Dinámica de la deuda'!D$12*100</f>
        <v>0.12146172641562042</v>
      </c>
      <c r="E78" s="164">
        <f>E34/'Dinámica de la deuda'!E$12*100</f>
        <v>0.17713604668523364</v>
      </c>
      <c r="F78" s="164">
        <f>F34/'Dinámica de la deuda'!F$12*100</f>
        <v>0.2096179133668509</v>
      </c>
      <c r="G78" s="164">
        <f>G34/'Dinámica de la deuda'!G$12*100</f>
        <v>0.2033695539565985</v>
      </c>
      <c r="H78" s="164">
        <f>H34/'Dinámica de la deuda'!H$12*100</f>
        <v>0.18799858991132107</v>
      </c>
      <c r="I78" s="164">
        <f>I34/'Dinámica de la deuda'!I$12*100</f>
        <v>0.16696368864301664</v>
      </c>
      <c r="J78" s="164">
        <f>J34/'Dinámica de la deuda'!J$12*100</f>
        <v>0.20813192555124344</v>
      </c>
      <c r="K78" s="164">
        <f>K34/'Dinámica de la deuda'!K$12*100</f>
        <v>0.30267568899083236</v>
      </c>
      <c r="L78" s="164">
        <f>L34/'Dinámica de la deuda'!L$12*100</f>
        <v>0.11294980081630371</v>
      </c>
      <c r="M78" s="164">
        <f>M34/'Dinámica de la deuda'!M$12*100</f>
        <v>0.11659311467631991</v>
      </c>
      <c r="N78" s="164">
        <f>N34/'Dinámica de la deuda'!N$12*100</f>
        <v>0.18760554309558519</v>
      </c>
      <c r="O78" s="164">
        <f>O34/'Dinámica de la deuda'!O$12*100</f>
        <v>0.1464536867134115</v>
      </c>
      <c r="P78" s="164">
        <f>P34/'Dinámica de la deuda'!P$12*100</f>
        <v>7.8317484049329852E-2</v>
      </c>
      <c r="Q78" s="164">
        <f>Q34/'Dinámica de la deuda'!Q$12*100</f>
        <v>0.18163112895301048</v>
      </c>
      <c r="R78" s="164">
        <f>R34/'Dinámica de la deuda'!R$12*100</f>
        <v>0.3758757668890822</v>
      </c>
      <c r="S78" s="164">
        <f>S34/'Dinámica de la deuda'!S$12*100</f>
        <v>0.44617290802031706</v>
      </c>
      <c r="T78" s="164">
        <f>T34/'Dinámica de la deuda'!T$12*100</f>
        <v>0.3212402807716962</v>
      </c>
      <c r="U78" s="164">
        <f>U34/'Dinámica de la deuda'!U$12*100</f>
        <v>0.27601833595221875</v>
      </c>
      <c r="V78" s="164">
        <f>V34/'Dinámica de la deuda'!V$12*100</f>
        <v>0.3684206043960721</v>
      </c>
      <c r="W78" s="153">
        <f>W34/'Dinámica de la deuda'!W$12*100</f>
        <v>0.17425304943373998</v>
      </c>
      <c r="X78" s="153">
        <f>X34/'Dinámica de la deuda'!X$12*100</f>
        <v>0.4740492406459243</v>
      </c>
      <c r="Y78" s="154">
        <f>Y34/'Dinámica de la deuda'!Y$12*100</f>
        <v>1.1449944001253562</v>
      </c>
      <c r="Z78" s="33">
        <f>Z34/'Dinámica de la deuda'!Z$12*100</f>
        <v>0</v>
      </c>
      <c r="AA78" s="33">
        <f>AA34/'Dinámica de la deuda'!AA$12*100</f>
        <v>0</v>
      </c>
      <c r="AB78" s="33" t="e">
        <f>AB34/'Dinámica de la deuda'!AB$12*100</f>
        <v>#DIV/0!</v>
      </c>
      <c r="AC78" s="33" t="e">
        <f>AC34/'Dinámica de la deuda'!AC$12*100</f>
        <v>#DIV/0!</v>
      </c>
      <c r="AD78" s="33" t="e">
        <f>AD34/'Dinámica de la deuda'!AD$12*100</f>
        <v>#DIV/0!</v>
      </c>
      <c r="AE78" s="33" t="e">
        <f>AE34/'Dinámica de la deuda'!AE$12*100</f>
        <v>#DIV/0!</v>
      </c>
      <c r="AF78" s="33" t="e">
        <f>AF34/'Dinámica de la deuda'!AF$12*100</f>
        <v>#DIV/0!</v>
      </c>
      <c r="AG78" s="33" t="e">
        <f>AG34/'Dinámica de la deuda'!AG$12*100</f>
        <v>#DIV/0!</v>
      </c>
      <c r="AH78" s="33" t="e">
        <f>AH34/'Dinámica de la deuda'!AH$12*100</f>
        <v>#DIV/0!</v>
      </c>
      <c r="AI78" s="33" t="e">
        <f>AI34/'Dinámica de la deuda'!AI$12*100</f>
        <v>#DIV/0!</v>
      </c>
      <c r="AJ78" s="33" t="e">
        <f>AJ34/'Dinámica de la deuda'!AJ$12*100</f>
        <v>#DIV/0!</v>
      </c>
      <c r="AK78" s="106" t="e">
        <f>AK34/'Dinámica de la deuda'!AK$12*100</f>
        <v>#DIV/0!</v>
      </c>
      <c r="AM78" s="89"/>
      <c r="AN78" s="89"/>
      <c r="AO78" s="89"/>
      <c r="AP78" s="89"/>
      <c r="AQ78" s="89"/>
      <c r="AR78" s="89"/>
      <c r="AS78" s="89"/>
      <c r="AT78" s="89"/>
      <c r="AU78" s="89"/>
      <c r="AV78" s="89"/>
      <c r="AW78" s="89"/>
      <c r="AX78" s="89"/>
      <c r="AY78" s="89"/>
    </row>
    <row r="79" spans="1:52" s="11" customFormat="1">
      <c r="A79" s="121" t="s">
        <v>44</v>
      </c>
      <c r="B79" s="165">
        <f>B35/'Dinámica de la deuda'!B$12*100</f>
        <v>2.2870026879999199</v>
      </c>
      <c r="C79" s="165">
        <f>C35/'Dinámica de la deuda'!C$12*100</f>
        <v>2.2102936317681818</v>
      </c>
      <c r="D79" s="165">
        <f>D35/'Dinámica de la deuda'!D$12*100</f>
        <v>2.1220614277015515</v>
      </c>
      <c r="E79" s="165">
        <f>E35/'Dinámica de la deuda'!E$12*100</f>
        <v>1.9795729565901827</v>
      </c>
      <c r="F79" s="165">
        <f>F35/'Dinámica de la deuda'!F$12*100</f>
        <v>2.1885136113586405</v>
      </c>
      <c r="G79" s="165">
        <f>G35/'Dinámica de la deuda'!G$12*100</f>
        <v>2.1682264564857578</v>
      </c>
      <c r="H79" s="165">
        <f>H35/'Dinámica de la deuda'!H$12*100</f>
        <v>1.8489015138358829</v>
      </c>
      <c r="I79" s="165">
        <f>I35/'Dinámica de la deuda'!I$12*100</f>
        <v>2.6438713659939697</v>
      </c>
      <c r="J79" s="165">
        <f>J35/'Dinámica de la deuda'!J$12*100</f>
        <v>2.8120315142314953</v>
      </c>
      <c r="K79" s="165">
        <f>K35/'Dinámica de la deuda'!K$12*100</f>
        <v>2.4558759474335345</v>
      </c>
      <c r="L79" s="165">
        <f>L35/'Dinámica de la deuda'!L$12*100</f>
        <v>2.2535537788061379</v>
      </c>
      <c r="M79" s="165">
        <f>M35/'Dinámica de la deuda'!M$12*100</f>
        <v>2.0577833711158426</v>
      </c>
      <c r="N79" s="165">
        <f>N35/'Dinámica de la deuda'!N$12*100</f>
        <v>2.1373045175408723</v>
      </c>
      <c r="O79" s="165">
        <f>O35/'Dinámica de la deuda'!O$12*100</f>
        <v>2.0276500749893733</v>
      </c>
      <c r="P79" s="165">
        <f>P35/'Dinámica de la deuda'!P$12*100</f>
        <v>1.7959005113394446</v>
      </c>
      <c r="Q79" s="165">
        <f>Q35/'Dinámica de la deuda'!Q$12*100</f>
        <v>1.7346796156784774</v>
      </c>
      <c r="R79" s="165">
        <f>R35/'Dinámica de la deuda'!R$12*100</f>
        <v>1.8975011472575309</v>
      </c>
      <c r="S79" s="165">
        <f>S35/'Dinámica de la deuda'!S$12*100</f>
        <v>2.2482762618099232</v>
      </c>
      <c r="T79" s="165">
        <f>T35/'Dinámica de la deuda'!T$12*100</f>
        <v>2.2062312102160759</v>
      </c>
      <c r="U79" s="165">
        <f>U35/'Dinámica de la deuda'!U$12*100</f>
        <v>2.109986306293282</v>
      </c>
      <c r="V79" s="165">
        <f>V35/'Dinámica de la deuda'!V$12*100</f>
        <v>2.1879337086123689</v>
      </c>
      <c r="W79" s="166">
        <f>W35/'Dinámica de la deuda'!W$12*100</f>
        <v>2.0005795274105109</v>
      </c>
      <c r="X79" s="166">
        <f>X35/'Dinámica de la deuda'!X$12*100</f>
        <v>2.5414887425687107</v>
      </c>
      <c r="Y79" s="167">
        <f>Y35/'Dinámica de la deuda'!Y$12*100</f>
        <v>3.5639006785944143</v>
      </c>
      <c r="Z79" s="34">
        <f>Z35/'Dinámica de la deuda'!Z$12*100</f>
        <v>0</v>
      </c>
      <c r="AA79" s="34" t="e">
        <f>AA35/'Dinámica de la deuda'!AA$12*100</f>
        <v>#DIV/0!</v>
      </c>
      <c r="AB79" s="34" t="e">
        <f>AB35/'Dinámica de la deuda'!AB$12*100</f>
        <v>#DIV/0!</v>
      </c>
      <c r="AC79" s="34" t="e">
        <f>AC35/'Dinámica de la deuda'!AC$12*100</f>
        <v>#DIV/0!</v>
      </c>
      <c r="AD79" s="34" t="e">
        <f>AD35/'Dinámica de la deuda'!AD$12*100</f>
        <v>#DIV/0!</v>
      </c>
      <c r="AE79" s="34" t="e">
        <f>AE35/'Dinámica de la deuda'!AE$12*100</f>
        <v>#DIV/0!</v>
      </c>
      <c r="AF79" s="34" t="e">
        <f>AF35/'Dinámica de la deuda'!AF$12*100</f>
        <v>#DIV/0!</v>
      </c>
      <c r="AG79" s="34" t="e">
        <f>AG35/'Dinámica de la deuda'!AG$12*100</f>
        <v>#DIV/0!</v>
      </c>
      <c r="AH79" s="34" t="e">
        <f>AH35/'Dinámica de la deuda'!AH$12*100</f>
        <v>#DIV/0!</v>
      </c>
      <c r="AI79" s="34" t="e">
        <f>AI35/'Dinámica de la deuda'!AI$12*100</f>
        <v>#DIV/0!</v>
      </c>
      <c r="AJ79" s="34" t="e">
        <f>AJ35/'Dinámica de la deuda'!AJ$12*100</f>
        <v>#DIV/0!</v>
      </c>
      <c r="AK79" s="143" t="e">
        <f>AK35/'Dinámica de la deuda'!AK$12*100</f>
        <v>#DIV/0!</v>
      </c>
      <c r="AM79" s="89"/>
      <c r="AN79" s="89"/>
      <c r="AO79" s="89"/>
      <c r="AP79" s="89"/>
      <c r="AQ79" s="89"/>
      <c r="AR79" s="89"/>
      <c r="AS79" s="89"/>
      <c r="AT79" s="89"/>
      <c r="AU79" s="89"/>
      <c r="AV79" s="89"/>
      <c r="AW79" s="89"/>
      <c r="AX79" s="89"/>
      <c r="AY79" s="89"/>
    </row>
    <row r="80" spans="1:52" s="11" customFormat="1">
      <c r="A80" s="122" t="s">
        <v>45</v>
      </c>
      <c r="B80" s="168">
        <f>B36/'Dinámica de la deuda'!B$12*100</f>
        <v>3.3157415783311905</v>
      </c>
      <c r="C80" s="168">
        <f>C36/'Dinámica de la deuda'!C$12*100</f>
        <v>3.3342136308509596</v>
      </c>
      <c r="D80" s="168">
        <f>D36/'Dinámica de la deuda'!D$12*100</f>
        <v>3.5437560992123975</v>
      </c>
      <c r="E80" s="168">
        <f>E36/'Dinámica de la deuda'!E$12*100</f>
        <v>3.5043841764047685</v>
      </c>
      <c r="F80" s="168">
        <f>F36/'Dinámica de la deuda'!F$12*100</f>
        <v>3.8104836330491061</v>
      </c>
      <c r="G80" s="168">
        <f>G36/'Dinámica de la deuda'!G$12*100</f>
        <v>3.5962449499774412</v>
      </c>
      <c r="H80" s="168">
        <f>H36/'Dinámica de la deuda'!H$12*100</f>
        <v>3.1117028824965898</v>
      </c>
      <c r="I80" s="168">
        <f>I36/'Dinámica de la deuda'!I$12*100</f>
        <v>3.6594073839158234</v>
      </c>
      <c r="J80" s="168">
        <f>J36/'Dinámica de la deuda'!J$12*100</f>
        <v>3.7125003230714606</v>
      </c>
      <c r="K80" s="168">
        <f>K36/'Dinámica de la deuda'!K$12*100</f>
        <v>3.2243097434003691</v>
      </c>
      <c r="L80" s="168">
        <f>L36/'Dinámica de la deuda'!L$12*100</f>
        <v>3.0203189952928482</v>
      </c>
      <c r="M80" s="168">
        <f>M36/'Dinámica de la deuda'!M$12*100</f>
        <v>2.7289478374031195</v>
      </c>
      <c r="N80" s="168">
        <f>N36/'Dinámica de la deuda'!N$12*100</f>
        <v>2.7136788941945409</v>
      </c>
      <c r="O80" s="168">
        <f>O36/'Dinámica de la deuda'!O$12*100</f>
        <v>2.5584604955774837</v>
      </c>
      <c r="P80" s="168">
        <f>P36/'Dinámica de la deuda'!P$12*100</f>
        <v>2.2915069510851325</v>
      </c>
      <c r="Q80" s="168">
        <f>Q36/'Dinámica de la deuda'!Q$12*100</f>
        <v>2.2256347047952905</v>
      </c>
      <c r="R80" s="168">
        <f>R36/'Dinámica de la deuda'!R$12*100</f>
        <v>2.5656790952598407</v>
      </c>
      <c r="S80" s="168">
        <f>S36/'Dinámica de la deuda'!S$12*100</f>
        <v>2.9384394785615737</v>
      </c>
      <c r="T80" s="168">
        <f>T36/'Dinámica de la deuda'!T$12*100</f>
        <v>2.8916659210446922</v>
      </c>
      <c r="U80" s="168">
        <f>U36/'Dinámica de la deuda'!U$12*100</f>
        <v>2.7813579614277275</v>
      </c>
      <c r="V80" s="168">
        <f>V36/'Dinámica de la deuda'!V$12*100</f>
        <v>2.9055107427976452</v>
      </c>
      <c r="W80" s="169">
        <f>W36/'Dinámica de la deuda'!W$12*100</f>
        <v>2.8400677519731947</v>
      </c>
      <c r="X80" s="169">
        <f>X36/'Dinámica de la deuda'!X$12*100</f>
        <v>3.3270531983604199</v>
      </c>
      <c r="Y80" s="170">
        <f>Y36/'Dinámica de la deuda'!Y$12*100</f>
        <v>4.3188893729372344</v>
      </c>
      <c r="Z80" s="125">
        <f>Z36/'Dinámica de la deuda'!Z$12*100</f>
        <v>0</v>
      </c>
      <c r="AA80" s="125" t="e">
        <f>AA36/'Dinámica de la deuda'!AA$12*100</f>
        <v>#DIV/0!</v>
      </c>
      <c r="AB80" s="125" t="e">
        <f>AB36/'Dinámica de la deuda'!AB$12*100</f>
        <v>#DIV/0!</v>
      </c>
      <c r="AC80" s="125" t="e">
        <f>AC36/'Dinámica de la deuda'!AC$12*100</f>
        <v>#DIV/0!</v>
      </c>
      <c r="AD80" s="125" t="e">
        <f>AD36/'Dinámica de la deuda'!AD$12*100</f>
        <v>#DIV/0!</v>
      </c>
      <c r="AE80" s="125" t="e">
        <f>AE36/'Dinámica de la deuda'!AE$12*100</f>
        <v>#DIV/0!</v>
      </c>
      <c r="AF80" s="125" t="e">
        <f>AF36/'Dinámica de la deuda'!AF$12*100</f>
        <v>#DIV/0!</v>
      </c>
      <c r="AG80" s="125" t="e">
        <f>AG36/'Dinámica de la deuda'!AG$12*100</f>
        <v>#DIV/0!</v>
      </c>
      <c r="AH80" s="125" t="e">
        <f>AH36/'Dinámica de la deuda'!AH$12*100</f>
        <v>#DIV/0!</v>
      </c>
      <c r="AI80" s="125" t="e">
        <f>AI36/'Dinámica de la deuda'!AI$12*100</f>
        <v>#DIV/0!</v>
      </c>
      <c r="AJ80" s="125" t="e">
        <f>AJ36/'Dinámica de la deuda'!AJ$12*100</f>
        <v>#DIV/0!</v>
      </c>
      <c r="AK80" s="144" t="e">
        <f>AK36/'Dinámica de la deuda'!AK$12*100</f>
        <v>#DIV/0!</v>
      </c>
      <c r="AM80" s="89"/>
      <c r="AN80" s="89"/>
      <c r="AO80" s="89"/>
      <c r="AP80" s="89"/>
      <c r="AQ80" s="89"/>
      <c r="AR80" s="89"/>
      <c r="AS80" s="89"/>
      <c r="AT80" s="89"/>
      <c r="AU80" s="89"/>
      <c r="AV80" s="89"/>
      <c r="AW80" s="89"/>
      <c r="AX80" s="89"/>
      <c r="AY80" s="89"/>
    </row>
    <row r="81" spans="1:51" s="11" customFormat="1" ht="18">
      <c r="A81" s="353"/>
      <c r="B81" s="89"/>
      <c r="C81" s="89"/>
      <c r="D81" s="89"/>
      <c r="E81" s="89"/>
      <c r="F81" s="89"/>
      <c r="G81" s="89"/>
      <c r="H81" s="89"/>
      <c r="I81" s="89"/>
      <c r="J81" s="89"/>
      <c r="K81" s="89"/>
      <c r="L81" s="89"/>
      <c r="M81" s="89"/>
      <c r="N81" s="89"/>
      <c r="O81" s="89"/>
      <c r="P81" s="89"/>
      <c r="Q81" s="89"/>
      <c r="R81" s="89"/>
      <c r="S81" s="89"/>
      <c r="T81" s="89"/>
      <c r="U81" s="89"/>
      <c r="V81" s="89"/>
      <c r="W81" s="89"/>
      <c r="X81" s="89"/>
      <c r="Y81" s="89"/>
      <c r="Z81" s="89"/>
      <c r="AA81" s="89"/>
      <c r="AB81" s="89"/>
      <c r="AC81" s="89"/>
      <c r="AD81" s="89"/>
      <c r="AE81" s="89"/>
      <c r="AF81" s="89"/>
      <c r="AG81" s="89"/>
      <c r="AH81" s="89"/>
      <c r="AI81" s="89"/>
      <c r="AJ81" s="89"/>
      <c r="AK81" s="89"/>
      <c r="AM81" s="89"/>
      <c r="AN81" s="89"/>
      <c r="AO81" s="89"/>
      <c r="AP81" s="89"/>
      <c r="AQ81" s="89"/>
      <c r="AR81" s="89"/>
      <c r="AS81" s="89"/>
      <c r="AT81" s="89"/>
      <c r="AU81" s="89"/>
      <c r="AV81" s="89"/>
      <c r="AW81" s="89"/>
      <c r="AX81" s="89"/>
      <c r="AY81" s="89"/>
    </row>
    <row r="82" spans="1:51">
      <c r="A82" s="372" t="s">
        <v>232</v>
      </c>
      <c r="B82" s="373">
        <v>36525</v>
      </c>
      <c r="C82" s="373">
        <v>36891</v>
      </c>
      <c r="D82" s="373">
        <v>37256</v>
      </c>
      <c r="E82" s="373">
        <v>37621</v>
      </c>
      <c r="F82" s="373">
        <v>37986</v>
      </c>
      <c r="G82" s="373">
        <v>38352</v>
      </c>
      <c r="H82" s="373">
        <v>38717</v>
      </c>
      <c r="I82" s="373">
        <v>39082</v>
      </c>
      <c r="J82" s="373">
        <v>39447</v>
      </c>
      <c r="K82" s="373">
        <v>39813</v>
      </c>
      <c r="L82" s="373">
        <v>40178</v>
      </c>
      <c r="M82" s="373">
        <v>40543</v>
      </c>
      <c r="N82" s="373">
        <v>40908</v>
      </c>
      <c r="O82" s="373">
        <v>41274</v>
      </c>
      <c r="P82" s="373">
        <v>41639</v>
      </c>
      <c r="Q82" s="373">
        <v>42004</v>
      </c>
      <c r="R82" s="373">
        <v>42369</v>
      </c>
      <c r="S82" s="373">
        <v>42735</v>
      </c>
      <c r="T82" s="373">
        <v>43100</v>
      </c>
      <c r="U82" s="373">
        <v>43465</v>
      </c>
      <c r="V82" s="373">
        <v>43830</v>
      </c>
      <c r="W82" s="373">
        <v>44196</v>
      </c>
      <c r="X82" s="373">
        <v>44561</v>
      </c>
      <c r="Y82" s="382">
        <v>44926</v>
      </c>
      <c r="Z82" s="373">
        <v>45291</v>
      </c>
      <c r="AA82" s="373">
        <v>45657</v>
      </c>
      <c r="AB82" s="373">
        <v>46022</v>
      </c>
      <c r="AC82" s="373">
        <v>46387</v>
      </c>
      <c r="AD82" s="373">
        <v>46752</v>
      </c>
      <c r="AE82" s="373">
        <v>47118</v>
      </c>
      <c r="AF82" s="373">
        <v>47483</v>
      </c>
      <c r="AG82" s="373">
        <v>47848</v>
      </c>
      <c r="AH82" s="373">
        <v>48213</v>
      </c>
      <c r="AI82" s="373">
        <v>48579</v>
      </c>
      <c r="AJ82" s="373">
        <v>48944</v>
      </c>
      <c r="AK82" s="374">
        <v>49309</v>
      </c>
      <c r="AM82" s="89"/>
      <c r="AN82" s="89"/>
      <c r="AO82" s="89"/>
      <c r="AP82" s="89"/>
      <c r="AQ82" s="89"/>
      <c r="AR82" s="89"/>
      <c r="AS82" s="89"/>
      <c r="AT82" s="89"/>
      <c r="AU82" s="89"/>
      <c r="AV82" s="89"/>
      <c r="AW82" s="89"/>
      <c r="AX82" s="89"/>
      <c r="AY82" s="89"/>
    </row>
    <row r="83" spans="1:51">
      <c r="A83" s="356" t="s">
        <v>227</v>
      </c>
      <c r="B83" s="658">
        <f>B39/'Dinámica de la deuda'!B$12*100</f>
        <v>7.9192982081470218</v>
      </c>
      <c r="C83" s="658">
        <f>C39/'Dinámica de la deuda'!C$12*100</f>
        <v>5.9903443415780355</v>
      </c>
      <c r="D83" s="658">
        <f>D39/'Dinámica de la deuda'!D$12*100</f>
        <v>6.3050295064041988</v>
      </c>
      <c r="E83" s="658">
        <f>E39/'Dinámica de la deuda'!E$12*100</f>
        <v>5.6131710501020589</v>
      </c>
      <c r="F83" s="658">
        <f>F39/'Dinámica de la deuda'!F$12*100</f>
        <v>4.9952478178024755</v>
      </c>
      <c r="G83" s="658">
        <f>G39/'Dinámica de la deuda'!G$12*100</f>
        <v>5.15571444750569</v>
      </c>
      <c r="H83" s="658">
        <f>H39/'Dinámica de la deuda'!H$12*100</f>
        <v>7.6214139466755428</v>
      </c>
      <c r="I83" s="658">
        <f>I39/'Dinámica de la deuda'!I$12*100</f>
        <v>5.9172097243999344</v>
      </c>
      <c r="J83" s="658">
        <f>J39/'Dinámica de la deuda'!J$12*100</f>
        <v>4.3357200555054076</v>
      </c>
      <c r="K83" s="658">
        <f>K39/'Dinámica de la deuda'!K$12*100</f>
        <v>4.79525872411687</v>
      </c>
      <c r="L83" s="658">
        <f>L39/'Dinámica de la deuda'!L$12*100</f>
        <v>4.9333789533758177</v>
      </c>
      <c r="M83" s="658">
        <f>M39/'Dinámica de la deuda'!M$12*100</f>
        <v>4.921642101509323</v>
      </c>
      <c r="N83" s="658">
        <f>N39/'Dinámica de la deuda'!N$12*100</f>
        <v>4.5571672916588932</v>
      </c>
      <c r="O83" s="658">
        <f>O39/'Dinámica de la deuda'!O$12*100</f>
        <v>3.6927543000933385</v>
      </c>
      <c r="P83" s="658">
        <f>P39/'Dinámica de la deuda'!P$12*100</f>
        <v>4.1452451225049876</v>
      </c>
      <c r="Q83" s="658">
        <f>Q39/'Dinámica de la deuda'!Q$12*100</f>
        <v>4.1975706315198629</v>
      </c>
      <c r="R83" s="658">
        <f>R39/'Dinámica de la deuda'!R$12*100</f>
        <v>3.6344863452564544</v>
      </c>
      <c r="S83" s="658">
        <f>S39/'Dinámica de la deuda'!S$12*100</f>
        <v>4.0866647793209232</v>
      </c>
      <c r="T83" s="658">
        <f>T39/'Dinámica de la deuda'!T$12*100</f>
        <v>3.9263137747973387</v>
      </c>
      <c r="U83" s="659">
        <f>U39/'Dinámica de la deuda'!U$12*100</f>
        <v>3.8380554196270871</v>
      </c>
      <c r="V83" s="659">
        <f>V39/'Dinámica de la deuda'!V$12*100</f>
        <v>2.2595487568219226</v>
      </c>
      <c r="W83" s="659">
        <f>W39/'Dinámica de la deuda'!W$12*100</f>
        <v>4.2722047174552298</v>
      </c>
      <c r="X83" s="659">
        <f>X39/'Dinámica de la deuda'!X$12*100</f>
        <v>4.6378306836025107</v>
      </c>
      <c r="Y83" s="660">
        <f>Y39/'Dinámica de la deuda'!Y$12*100</f>
        <v>3.4299127070880044</v>
      </c>
      <c r="Z83" s="351">
        <f>Z39/'Dinámica de la deuda'!Z$12*100</f>
        <v>0</v>
      </c>
      <c r="AA83" s="387" t="e">
        <f>AA39/'Dinámica de la deuda'!AA$12*100</f>
        <v>#DIV/0!</v>
      </c>
      <c r="AB83" s="387" t="e">
        <f>AB39/'Dinámica de la deuda'!AB$12*100</f>
        <v>#DIV/0!</v>
      </c>
      <c r="AC83" s="387" t="e">
        <f>AC39/'Dinámica de la deuda'!AC$12*100</f>
        <v>#DIV/0!</v>
      </c>
      <c r="AD83" s="387" t="e">
        <f>AD39/'Dinámica de la deuda'!AD$12*100</f>
        <v>#DIV/0!</v>
      </c>
      <c r="AE83" s="387" t="e">
        <f>AE39/'Dinámica de la deuda'!AE$12*100</f>
        <v>#DIV/0!</v>
      </c>
      <c r="AF83" s="387" t="e">
        <f>AF39/'Dinámica de la deuda'!AF$12*100</f>
        <v>#DIV/0!</v>
      </c>
      <c r="AG83" s="387" t="e">
        <f>AG39/'Dinámica de la deuda'!AG$12*100</f>
        <v>#DIV/0!</v>
      </c>
      <c r="AH83" s="387" t="e">
        <f>AH39/'Dinámica de la deuda'!AH$12*100</f>
        <v>#DIV/0!</v>
      </c>
      <c r="AI83" s="387" t="e">
        <f>AI39/'Dinámica de la deuda'!AI$12*100</f>
        <v>#DIV/0!</v>
      </c>
      <c r="AJ83" s="387" t="e">
        <f>AJ39/'Dinámica de la deuda'!AJ$12*100</f>
        <v>#DIV/0!</v>
      </c>
      <c r="AK83" s="388" t="e">
        <f>AK39/'Dinámica de la deuda'!AK$12*100</f>
        <v>#DIV/0!</v>
      </c>
      <c r="AM83" s="89"/>
      <c r="AN83" s="89"/>
      <c r="AO83" s="89"/>
      <c r="AP83" s="89"/>
      <c r="AQ83" s="89"/>
      <c r="AR83" s="89"/>
      <c r="AS83" s="89"/>
      <c r="AT83" s="89"/>
      <c r="AU83" s="89"/>
      <c r="AV83" s="89"/>
      <c r="AW83" s="89"/>
      <c r="AX83" s="89"/>
      <c r="AY83" s="89"/>
    </row>
    <row r="84" spans="1:51">
      <c r="A84" s="357" t="s">
        <v>228</v>
      </c>
      <c r="B84" s="661">
        <f>B40/'Dinámica de la deuda'!B$12*100</f>
        <v>3.3663901170557424</v>
      </c>
      <c r="C84" s="661">
        <f>C40/'Dinámica de la deuda'!C$12*100</f>
        <v>2.8543942497705763</v>
      </c>
      <c r="D84" s="661">
        <f>D40/'Dinámica de la deuda'!D$12*100</f>
        <v>5.7470939667270269</v>
      </c>
      <c r="E84" s="661">
        <f>E40/'Dinámica de la deuda'!E$12*100</f>
        <v>2.1447315419571016</v>
      </c>
      <c r="F84" s="661">
        <f>F40/'Dinámica de la deuda'!F$12*100</f>
        <v>4.7674309498660365</v>
      </c>
      <c r="G84" s="661">
        <f>G40/'Dinámica de la deuda'!G$12*100</f>
        <v>2.3067072011406919</v>
      </c>
      <c r="H84" s="661">
        <f>H40/'Dinámica de la deuda'!H$12*100</f>
        <v>2.0886464608664435</v>
      </c>
      <c r="I84" s="661">
        <f>I40/'Dinámica de la deuda'!I$12*100</f>
        <v>2.6442330736678881</v>
      </c>
      <c r="J84" s="661">
        <f>J40/'Dinámica de la deuda'!J$12*100</f>
        <v>0.58407078924451272</v>
      </c>
      <c r="K84" s="661">
        <f>K40/'Dinámica de la deuda'!K$12*100</f>
        <v>1.2309933043917587</v>
      </c>
      <c r="L84" s="661">
        <f>L40/'Dinámica de la deuda'!L$12*100</f>
        <v>2.3774831424011977</v>
      </c>
      <c r="M84" s="661">
        <f>M40/'Dinámica de la deuda'!M$12*100</f>
        <v>1.1589541598399997</v>
      </c>
      <c r="N84" s="661">
        <f>N40/'Dinámica de la deuda'!N$12*100</f>
        <v>0.91382532674167161</v>
      </c>
      <c r="O84" s="661">
        <f>O40/'Dinámica de la deuda'!O$12*100</f>
        <v>0.672652657308771</v>
      </c>
      <c r="P84" s="661">
        <f>P40/'Dinámica de la deuda'!P$12*100</f>
        <v>1.0534804360167749</v>
      </c>
      <c r="Q84" s="661">
        <f>Q40/'Dinámica de la deuda'!Q$12*100</f>
        <v>1.4263692468307687</v>
      </c>
      <c r="R84" s="661">
        <f>R40/'Dinámica de la deuda'!R$12*100</f>
        <v>2.3308029572906488</v>
      </c>
      <c r="S84" s="661">
        <f>S40/'Dinámica de la deuda'!S$12*100</f>
        <v>1.6698494229298557</v>
      </c>
      <c r="T84" s="661">
        <f>T40/'Dinámica de la deuda'!T$12*100</f>
        <v>1.6442682305625727</v>
      </c>
      <c r="U84" s="313">
        <f>U40/'Dinámica de la deuda'!U$12*100</f>
        <v>1.2524049246004956</v>
      </c>
      <c r="V84" s="313">
        <f>V40/'Dinámica de la deuda'!V$12*100</f>
        <v>1.1662060425607104</v>
      </c>
      <c r="W84" s="313">
        <f>W40/'Dinámica de la deuda'!W$12*100</f>
        <v>3.8755758913284257</v>
      </c>
      <c r="X84" s="313">
        <f>X40/'Dinámica de la deuda'!X$12*100</f>
        <v>2.7544009324694132</v>
      </c>
      <c r="Y84" s="662">
        <f>Y40/'Dinámica de la deuda'!Y$12*100</f>
        <v>1.429326577237171</v>
      </c>
      <c r="Z84" s="123">
        <f>Z40/'Dinámica de la deuda'!Z$12*100</f>
        <v>0</v>
      </c>
      <c r="AA84" s="33" t="e">
        <f>AA40/'Dinámica de la deuda'!AA$12*100</f>
        <v>#DIV/0!</v>
      </c>
      <c r="AB84" s="33" t="e">
        <f>AB40/'Dinámica de la deuda'!AB$12*100</f>
        <v>#DIV/0!</v>
      </c>
      <c r="AC84" s="33" t="e">
        <f>AC40/'Dinámica de la deuda'!AC$12*100</f>
        <v>#DIV/0!</v>
      </c>
      <c r="AD84" s="33" t="e">
        <f>AD40/'Dinámica de la deuda'!AD$12*100</f>
        <v>#DIV/0!</v>
      </c>
      <c r="AE84" s="33" t="e">
        <f>AE40/'Dinámica de la deuda'!AE$12*100</f>
        <v>#DIV/0!</v>
      </c>
      <c r="AF84" s="33" t="e">
        <f>AF40/'Dinámica de la deuda'!AF$12*100</f>
        <v>#DIV/0!</v>
      </c>
      <c r="AG84" s="33" t="e">
        <f>AG40/'Dinámica de la deuda'!AG$12*100</f>
        <v>#DIV/0!</v>
      </c>
      <c r="AH84" s="33" t="e">
        <f>AH40/'Dinámica de la deuda'!AH$12*100</f>
        <v>#DIV/0!</v>
      </c>
      <c r="AI84" s="33" t="e">
        <f>AI40/'Dinámica de la deuda'!AI$12*100</f>
        <v>#DIV/0!</v>
      </c>
      <c r="AJ84" s="33" t="e">
        <f>AJ40/'Dinámica de la deuda'!AJ$12*100</f>
        <v>#DIV/0!</v>
      </c>
      <c r="AK84" s="312" t="e">
        <f>AK40/'Dinámica de la deuda'!AK$12*100</f>
        <v>#DIV/0!</v>
      </c>
      <c r="AM84" s="89"/>
      <c r="AN84" s="89"/>
      <c r="AO84" s="89"/>
      <c r="AP84" s="89"/>
      <c r="AQ84" s="89"/>
      <c r="AR84" s="89"/>
      <c r="AS84" s="89"/>
      <c r="AT84" s="89"/>
      <c r="AU84" s="89"/>
      <c r="AV84" s="89"/>
      <c r="AW84" s="89"/>
      <c r="AX84" s="89"/>
      <c r="AY84" s="89"/>
    </row>
    <row r="85" spans="1:51">
      <c r="A85" s="357" t="s">
        <v>225</v>
      </c>
      <c r="B85" s="661">
        <f>B41/'Dinámica de la deuda'!B$12*100</f>
        <v>4.1498394594497796</v>
      </c>
      <c r="C85" s="661">
        <f>C41/'Dinámica de la deuda'!C$12*100</f>
        <v>2.6738518266461329</v>
      </c>
      <c r="D85" s="661">
        <f>D41/'Dinámica de la deuda'!D$12*100</f>
        <v>3.6177157299304619</v>
      </c>
      <c r="E85" s="661">
        <f>E41/'Dinámica de la deuda'!E$12*100</f>
        <v>2.8645080232945022</v>
      </c>
      <c r="F85" s="661">
        <f>F41/'Dinámica de la deuda'!F$12*100</f>
        <v>2.6441831434538261</v>
      </c>
      <c r="G85" s="661">
        <f>G41/'Dinámica de la deuda'!G$12*100</f>
        <v>3.0764713677937339</v>
      </c>
      <c r="H85" s="661">
        <f>H41/'Dinámica de la deuda'!H$12*100</f>
        <v>2.7879925787177275</v>
      </c>
      <c r="I85" s="661">
        <f>I41/'Dinámica de la deuda'!I$12*100</f>
        <v>4.0670400862859166</v>
      </c>
      <c r="J85" s="661">
        <f>J41/'Dinámica de la deuda'!J$12*100</f>
        <v>3.9941910835840413</v>
      </c>
      <c r="K85" s="661">
        <f>K41/'Dinámica de la deuda'!K$12*100</f>
        <v>3.3209193874821596</v>
      </c>
      <c r="L85" s="661">
        <f>L41/'Dinámica de la deuda'!L$12*100</f>
        <v>2.5142719252148154</v>
      </c>
      <c r="M85" s="661">
        <f>M41/'Dinámica de la deuda'!M$12*100</f>
        <v>2.3915240721718751</v>
      </c>
      <c r="N85" s="661">
        <f>N41/'Dinámica de la deuda'!N$12*100</f>
        <v>2.1881286084502873</v>
      </c>
      <c r="O85" s="661">
        <f>O41/'Dinámica de la deuda'!O$12*100</f>
        <v>2.0847698297428852</v>
      </c>
      <c r="P85" s="661">
        <f>P41/'Dinámica de la deuda'!P$12*100</f>
        <v>2.4310306731740678</v>
      </c>
      <c r="Q85" s="661">
        <f>Q41/'Dinámica de la deuda'!Q$12*100</f>
        <v>2.2332236673092027</v>
      </c>
      <c r="R85" s="661">
        <f>R41/'Dinámica de la deuda'!R$12*100</f>
        <v>2.4359992175692509</v>
      </c>
      <c r="S85" s="661">
        <f>S41/'Dinámica de la deuda'!S$12*100</f>
        <v>1.3931476064808288</v>
      </c>
      <c r="T85" s="661">
        <f>T41/'Dinámica de la deuda'!T$12*100</f>
        <v>1.5724994132051837</v>
      </c>
      <c r="U85" s="313">
        <f>U41/'Dinámica de la deuda'!U$12*100</f>
        <v>0.67898368672166232</v>
      </c>
      <c r="V85" s="313">
        <f>V41/'Dinámica de la deuda'!V$12*100</f>
        <v>2.3282187090472988</v>
      </c>
      <c r="W85" s="313">
        <f>W41/'Dinámica de la deuda'!W$12*100</f>
        <v>0.85143073388641111</v>
      </c>
      <c r="X85" s="313">
        <f>X41/'Dinámica de la deuda'!X$12*100</f>
        <v>1.4827596437177712</v>
      </c>
      <c r="Y85" s="662">
        <f>Y41/'Dinámica de la deuda'!Y$12*100</f>
        <v>1.2480313758179271</v>
      </c>
      <c r="Z85" s="123">
        <f>Z41/'Dinámica de la deuda'!Z$12*100</f>
        <v>0</v>
      </c>
      <c r="AA85" s="33">
        <f>AA41/'Dinámica de la deuda'!AA$12*100</f>
        <v>0</v>
      </c>
      <c r="AB85" s="33">
        <f>AB41/'Dinámica de la deuda'!AB$12*100</f>
        <v>0</v>
      </c>
      <c r="AC85" s="33">
        <f>AC41/'Dinámica de la deuda'!AC$12*100</f>
        <v>0</v>
      </c>
      <c r="AD85" s="33">
        <f>AD41/'Dinámica de la deuda'!AD$12*100</f>
        <v>0</v>
      </c>
      <c r="AE85" s="33">
        <f>AE41/'Dinámica de la deuda'!AE$12*100</f>
        <v>0</v>
      </c>
      <c r="AF85" s="33" t="e">
        <f>AF41/'Dinámica de la deuda'!AF$12*100</f>
        <v>#DIV/0!</v>
      </c>
      <c r="AG85" s="33" t="e">
        <f>AG41/'Dinámica de la deuda'!AG$12*100</f>
        <v>#DIV/0!</v>
      </c>
      <c r="AH85" s="33" t="e">
        <f>AH41/'Dinámica de la deuda'!AH$12*100</f>
        <v>#DIV/0!</v>
      </c>
      <c r="AI85" s="33" t="e">
        <f>AI41/'Dinámica de la deuda'!AI$12*100</f>
        <v>#DIV/0!</v>
      </c>
      <c r="AJ85" s="33" t="e">
        <f>AJ41/'Dinámica de la deuda'!AJ$12*100</f>
        <v>#DIV/0!</v>
      </c>
      <c r="AK85" s="312" t="e">
        <f>AK41/'Dinámica de la deuda'!AK$12*100</f>
        <v>#DIV/0!</v>
      </c>
      <c r="AM85" s="89"/>
      <c r="AN85" s="89"/>
      <c r="AO85" s="89"/>
      <c r="AP85" s="89"/>
      <c r="AQ85" s="89"/>
      <c r="AR85" s="89"/>
      <c r="AS85" s="89"/>
      <c r="AT85" s="89"/>
      <c r="AU85" s="89"/>
      <c r="AV85" s="89"/>
      <c r="AW85" s="89"/>
      <c r="AX85" s="89"/>
      <c r="AY85" s="89"/>
    </row>
    <row r="86" spans="1:51">
      <c r="A86" s="357" t="s">
        <v>226</v>
      </c>
      <c r="B86" s="661">
        <f>B42/'Dinámica de la deuda'!B$12*100</f>
        <v>1.22571122718683</v>
      </c>
      <c r="C86" s="661">
        <f>C42/'Dinámica de la deuda'!C$12*100</f>
        <v>1.0242790618994808</v>
      </c>
      <c r="D86" s="661">
        <f>D42/'Dinámica de la deuda'!D$12*100</f>
        <v>1.754453337402101</v>
      </c>
      <c r="E86" s="661">
        <f>E42/'Dinámica de la deuda'!E$12*100</f>
        <v>2.1527602620163035</v>
      </c>
      <c r="F86" s="661">
        <f>F42/'Dinámica de la deuda'!F$12*100</f>
        <v>2.6791652702665436</v>
      </c>
      <c r="G86" s="661">
        <f>G42/'Dinámica de la deuda'!G$12*100</f>
        <v>1.1675204776857984</v>
      </c>
      <c r="H86" s="661">
        <f>H42/'Dinámica de la deuda'!H$12*100</f>
        <v>2.4079903473777096</v>
      </c>
      <c r="I86" s="661">
        <f>I42/'Dinámica de la deuda'!I$12*100</f>
        <v>1.2289496936043542</v>
      </c>
      <c r="J86" s="661">
        <f>J42/'Dinámica de la deuda'!J$12*100</f>
        <v>0.78832108842763693</v>
      </c>
      <c r="K86" s="661">
        <f>K42/'Dinámica de la deuda'!K$12*100</f>
        <v>0.70596871484201451</v>
      </c>
      <c r="L86" s="661">
        <f>L42/'Dinámica de la deuda'!L$12*100</f>
        <v>0.53497139238807701</v>
      </c>
      <c r="M86" s="661">
        <f>M42/'Dinámica de la deuda'!M$12*100</f>
        <v>0.612335281082379</v>
      </c>
      <c r="N86" s="661">
        <f>N42/'Dinámica de la deuda'!N$12*100</f>
        <v>0.36250390540924643</v>
      </c>
      <c r="O86" s="661">
        <f>O42/'Dinámica de la deuda'!O$12*100</f>
        <v>0.53887728032383675</v>
      </c>
      <c r="P86" s="661">
        <f>P42/'Dinámica de la deuda'!P$12*100</f>
        <v>0.40043876823433355</v>
      </c>
      <c r="Q86" s="661">
        <f>Q42/'Dinámica de la deuda'!Q$12*100</f>
        <v>0.63236736786556658</v>
      </c>
      <c r="R86" s="661">
        <f>R42/'Dinámica de la deuda'!R$12*100</f>
        <v>0.75266594220050409</v>
      </c>
      <c r="S86" s="661">
        <f>S42/'Dinámica de la deuda'!S$12*100</f>
        <v>0.41194163331834466</v>
      </c>
      <c r="T86" s="661">
        <f>T42/'Dinámica de la deuda'!T$12*100</f>
        <v>0.83523371768409949</v>
      </c>
      <c r="U86" s="313">
        <f>U42/'Dinámica de la deuda'!U$12*100</f>
        <v>0.29913635282061318</v>
      </c>
      <c r="V86" s="313">
        <f>V42/'Dinámica de la deuda'!V$12*100</f>
        <v>0.75577120489606131</v>
      </c>
      <c r="W86" s="313">
        <f>W42/'Dinámica de la deuda'!W$12*100</f>
        <v>0.64033371064921907</v>
      </c>
      <c r="X86" s="313">
        <f>X42/'Dinámica de la deuda'!X$12*100</f>
        <v>0.9095761920112857</v>
      </c>
      <c r="Y86" s="662">
        <f>Y42/'Dinámica de la deuda'!Y$12*100</f>
        <v>0.28696489503376194</v>
      </c>
      <c r="Z86" s="123">
        <f>Z42/'Dinámica de la deuda'!Z$12*100</f>
        <v>0</v>
      </c>
      <c r="AA86" s="33">
        <f>AA42/'Dinámica de la deuda'!AA$12*100</f>
        <v>0</v>
      </c>
      <c r="AB86" s="33">
        <f>AB42/'Dinámica de la deuda'!AB$12*100</f>
        <v>0</v>
      </c>
      <c r="AC86" s="33">
        <f>AC42/'Dinámica de la deuda'!AC$12*100</f>
        <v>0</v>
      </c>
      <c r="AD86" s="33">
        <f>AD42/'Dinámica de la deuda'!AD$12*100</f>
        <v>0</v>
      </c>
      <c r="AE86" s="33" t="e">
        <f>AE42/'Dinámica de la deuda'!AE$12*100</f>
        <v>#DIV/0!</v>
      </c>
      <c r="AF86" s="33" t="e">
        <f>AF42/'Dinámica de la deuda'!AF$12*100</f>
        <v>#DIV/0!</v>
      </c>
      <c r="AG86" s="33" t="e">
        <f>AG42/'Dinámica de la deuda'!AG$12*100</f>
        <v>#DIV/0!</v>
      </c>
      <c r="AH86" s="33" t="e">
        <f>AH42/'Dinámica de la deuda'!AH$12*100</f>
        <v>#DIV/0!</v>
      </c>
      <c r="AI86" s="33" t="e">
        <f>AI42/'Dinámica de la deuda'!AI$12*100</f>
        <v>#DIV/0!</v>
      </c>
      <c r="AJ86" s="33" t="e">
        <f>AJ42/'Dinámica de la deuda'!AJ$12*100</f>
        <v>#DIV/0!</v>
      </c>
      <c r="AK86" s="312" t="e">
        <f>AK42/'Dinámica de la deuda'!AK$12*100</f>
        <v>#DIV/0!</v>
      </c>
      <c r="AM86" s="89"/>
      <c r="AN86" s="89"/>
      <c r="AO86" s="89"/>
      <c r="AP86" s="89"/>
      <c r="AQ86" s="89"/>
      <c r="AR86" s="89"/>
      <c r="AS86" s="89"/>
      <c r="AT86" s="89"/>
      <c r="AU86" s="89"/>
      <c r="AV86" s="89"/>
      <c r="AW86" s="89"/>
      <c r="AX86" s="89"/>
      <c r="AY86" s="89"/>
    </row>
    <row r="87" spans="1:51" s="414" customFormat="1">
      <c r="A87" s="411" t="s">
        <v>275</v>
      </c>
      <c r="B87" s="663">
        <f t="shared" ref="B87:Y87" si="17">B85+B86</f>
        <v>5.3755506866366094</v>
      </c>
      <c r="C87" s="663">
        <f t="shared" si="17"/>
        <v>3.6981308885456139</v>
      </c>
      <c r="D87" s="663">
        <f t="shared" si="17"/>
        <v>5.3721690673325631</v>
      </c>
      <c r="E87" s="663">
        <f t="shared" si="17"/>
        <v>5.0172682853108057</v>
      </c>
      <c r="F87" s="663">
        <f t="shared" si="17"/>
        <v>5.3233484137203693</v>
      </c>
      <c r="G87" s="663">
        <f t="shared" si="17"/>
        <v>4.243991845479532</v>
      </c>
      <c r="H87" s="663">
        <f t="shared" si="17"/>
        <v>5.1959829260954375</v>
      </c>
      <c r="I87" s="663">
        <f t="shared" si="17"/>
        <v>5.2959897798902711</v>
      </c>
      <c r="J87" s="663">
        <f t="shared" si="17"/>
        <v>4.7825121720116783</v>
      </c>
      <c r="K87" s="663">
        <f t="shared" si="17"/>
        <v>4.0268881023241745</v>
      </c>
      <c r="L87" s="663">
        <f t="shared" si="17"/>
        <v>3.0492433176028921</v>
      </c>
      <c r="M87" s="663">
        <f t="shared" si="17"/>
        <v>3.0038593532542541</v>
      </c>
      <c r="N87" s="663">
        <f t="shared" si="17"/>
        <v>2.5506325138595338</v>
      </c>
      <c r="O87" s="663">
        <f t="shared" si="17"/>
        <v>2.623647110066722</v>
      </c>
      <c r="P87" s="663">
        <f t="shared" si="17"/>
        <v>2.8314694414084016</v>
      </c>
      <c r="Q87" s="663">
        <f t="shared" si="17"/>
        <v>2.8655910351747691</v>
      </c>
      <c r="R87" s="663">
        <f t="shared" si="17"/>
        <v>3.1886651597697551</v>
      </c>
      <c r="S87" s="663">
        <f t="shared" si="17"/>
        <v>1.8050892397991736</v>
      </c>
      <c r="T87" s="663">
        <f t="shared" si="17"/>
        <v>2.4077331308892833</v>
      </c>
      <c r="U87" s="664">
        <f t="shared" si="17"/>
        <v>0.97812003954227555</v>
      </c>
      <c r="V87" s="664">
        <f t="shared" si="17"/>
        <v>3.08398991394336</v>
      </c>
      <c r="W87" s="664">
        <f t="shared" si="17"/>
        <v>1.4917644445356302</v>
      </c>
      <c r="X87" s="664">
        <f t="shared" si="17"/>
        <v>2.3923358357290567</v>
      </c>
      <c r="Y87" s="665">
        <f t="shared" si="17"/>
        <v>1.5349962708516891</v>
      </c>
      <c r="Z87" s="666">
        <f t="shared" ref="Z87:AK87" si="18">Z85+Z86</f>
        <v>0</v>
      </c>
      <c r="AA87" s="412">
        <f t="shared" si="18"/>
        <v>0</v>
      </c>
      <c r="AB87" s="412">
        <f t="shared" si="18"/>
        <v>0</v>
      </c>
      <c r="AC87" s="412">
        <f t="shared" si="18"/>
        <v>0</v>
      </c>
      <c r="AD87" s="412">
        <f t="shared" si="18"/>
        <v>0</v>
      </c>
      <c r="AE87" s="412" t="e">
        <f t="shared" si="18"/>
        <v>#DIV/0!</v>
      </c>
      <c r="AF87" s="412" t="e">
        <f t="shared" si="18"/>
        <v>#DIV/0!</v>
      </c>
      <c r="AG87" s="412" t="e">
        <f t="shared" si="18"/>
        <v>#DIV/0!</v>
      </c>
      <c r="AH87" s="412" t="e">
        <f t="shared" si="18"/>
        <v>#DIV/0!</v>
      </c>
      <c r="AI87" s="412" t="e">
        <f t="shared" si="18"/>
        <v>#DIV/0!</v>
      </c>
      <c r="AJ87" s="412" t="e">
        <f t="shared" si="18"/>
        <v>#DIV/0!</v>
      </c>
      <c r="AK87" s="413" t="e">
        <f t="shared" si="18"/>
        <v>#DIV/0!</v>
      </c>
      <c r="AM87" s="89"/>
      <c r="AN87" s="89"/>
      <c r="AO87" s="89"/>
      <c r="AP87" s="89"/>
      <c r="AQ87" s="89"/>
      <c r="AR87" s="89"/>
      <c r="AS87" s="89"/>
      <c r="AT87" s="89"/>
      <c r="AU87" s="89"/>
      <c r="AV87" s="89"/>
      <c r="AW87" s="89"/>
      <c r="AX87" s="89"/>
      <c r="AY87" s="89"/>
    </row>
    <row r="88" spans="1:51">
      <c r="A88" s="357" t="s">
        <v>296</v>
      </c>
      <c r="B88" s="661">
        <f>B43/'Dinámica de la deuda'!B$12*100</f>
        <v>3.3157415783311905</v>
      </c>
      <c r="C88" s="661">
        <f>C43/'Dinámica de la deuda'!C$12*100</f>
        <v>3.3025266158536057</v>
      </c>
      <c r="D88" s="661">
        <f>D43/'Dinámica de la deuda'!D$12*100</f>
        <v>3.4222943727967774</v>
      </c>
      <c r="E88" s="661">
        <f>E43/'Dinámica de la deuda'!E$12*100</f>
        <v>3.3272481297195347</v>
      </c>
      <c r="F88" s="661">
        <f>F43/'Dinámica de la deuda'!F$12*100</f>
        <v>3.6008657196822549</v>
      </c>
      <c r="G88" s="661">
        <f>G43/'Dinámica de la deuda'!G$12*100</f>
        <v>3.3928753960208424</v>
      </c>
      <c r="H88" s="661">
        <f>H43/'Dinámica de la deuda'!H$12*100</f>
        <v>2.9237042925852683</v>
      </c>
      <c r="I88" s="661">
        <f>I43/'Dinámica de la deuda'!I$12*100</f>
        <v>3.4924436952728066</v>
      </c>
      <c r="J88" s="661">
        <f>J43/'Dinámica de la deuda'!J$12*100</f>
        <v>3.5043683975202167</v>
      </c>
      <c r="K88" s="661">
        <f>K43/'Dinámica de la deuda'!K$12*100</f>
        <v>2.9216340544095365</v>
      </c>
      <c r="L88" s="661">
        <f>L43/'Dinámica de la deuda'!L$12*100</f>
        <v>2.9073691944765447</v>
      </c>
      <c r="M88" s="661">
        <f>M43/'Dinámica de la deuda'!M$12*100</f>
        <v>2.6123547227267996</v>
      </c>
      <c r="N88" s="661">
        <f>N43/'Dinámica de la deuda'!N$12*100</f>
        <v>2.5260733510989555</v>
      </c>
      <c r="O88" s="661">
        <f>O43/'Dinámica de la deuda'!O$12*100</f>
        <v>2.4120068088640716</v>
      </c>
      <c r="P88" s="661">
        <f>P43/'Dinámica de la deuda'!P$12*100</f>
        <v>2.2131894670358028</v>
      </c>
      <c r="Q88" s="661">
        <f>Q43/'Dinámica de la deuda'!Q$12*100</f>
        <v>2.0440035758422801</v>
      </c>
      <c r="R88" s="661">
        <f>R43/'Dinámica de la deuda'!R$12*100</f>
        <v>2.1898033283707581</v>
      </c>
      <c r="S88" s="661">
        <f>S43/'Dinámica de la deuda'!S$12*100</f>
        <v>2.4922665705412563</v>
      </c>
      <c r="T88" s="661">
        <f>T43/'Dinámica de la deuda'!T$12*100</f>
        <v>2.5704256402729957</v>
      </c>
      <c r="U88" s="313">
        <f>U43/'Dinámica de la deuda'!U$12*100</f>
        <v>2.5053396254755089</v>
      </c>
      <c r="V88" s="313">
        <f>V43/'Dinámica de la deuda'!V$12*100</f>
        <v>2.5370901384015734</v>
      </c>
      <c r="W88" s="313">
        <f>W43/'Dinámica de la deuda'!W$12*100</f>
        <v>2.6658147025394552</v>
      </c>
      <c r="X88" s="313">
        <f>X43/'Dinámica de la deuda'!X$12*100</f>
        <v>2.8530039577144959</v>
      </c>
      <c r="Y88" s="662">
        <f>Y43/'Dinámica de la deuda'!Y$12*100</f>
        <v>3.1738949728118788</v>
      </c>
      <c r="Z88" s="123">
        <f>Z43/'Dinámica de la deuda'!Z$12*100</f>
        <v>0</v>
      </c>
      <c r="AA88" s="33" t="e">
        <f>AA43/'Dinámica de la deuda'!AA$12*100</f>
        <v>#DIV/0!</v>
      </c>
      <c r="AB88" s="33" t="e">
        <f>AB43/'Dinámica de la deuda'!AB$12*100</f>
        <v>#DIV/0!</v>
      </c>
      <c r="AC88" s="33" t="e">
        <f>AC43/'Dinámica de la deuda'!AC$12*100</f>
        <v>#DIV/0!</v>
      </c>
      <c r="AD88" s="33" t="e">
        <f>AD43/'Dinámica de la deuda'!AD$12*100</f>
        <v>#DIV/0!</v>
      </c>
      <c r="AE88" s="33" t="e">
        <f>AE43/'Dinámica de la deuda'!AE$12*100</f>
        <v>#DIV/0!</v>
      </c>
      <c r="AF88" s="33" t="e">
        <f>AF43/'Dinámica de la deuda'!AF$12*100</f>
        <v>#DIV/0!</v>
      </c>
      <c r="AG88" s="33" t="e">
        <f>AG43/'Dinámica de la deuda'!AG$12*100</f>
        <v>#DIV/0!</v>
      </c>
      <c r="AH88" s="33" t="e">
        <f>AH43/'Dinámica de la deuda'!AH$12*100</f>
        <v>#DIV/0!</v>
      </c>
      <c r="AI88" s="33" t="e">
        <f>AI43/'Dinámica de la deuda'!AI$12*100</f>
        <v>#DIV/0!</v>
      </c>
      <c r="AJ88" s="33" t="e">
        <f>AJ43/'Dinámica de la deuda'!AJ$12*100</f>
        <v>#DIV/0!</v>
      </c>
      <c r="AK88" s="312" t="e">
        <f>AK43/'Dinámica de la deuda'!AK$12*100</f>
        <v>#DIV/0!</v>
      </c>
      <c r="AM88" s="89"/>
      <c r="AN88" s="89"/>
      <c r="AO88" s="89"/>
      <c r="AP88" s="89"/>
      <c r="AQ88" s="89"/>
      <c r="AR88" s="89"/>
      <c r="AS88" s="89"/>
      <c r="AT88" s="89"/>
      <c r="AU88" s="89"/>
      <c r="AV88" s="89"/>
      <c r="AW88" s="89"/>
      <c r="AX88" s="89"/>
      <c r="AY88" s="89"/>
    </row>
    <row r="89" spans="1:51">
      <c r="A89" s="357" t="s">
        <v>295</v>
      </c>
      <c r="B89" s="661">
        <f>B44/'Dinámica de la deuda'!B$12*100</f>
        <v>4.2794896475390347</v>
      </c>
      <c r="C89" s="661">
        <f>C44/'Dinámica de la deuda'!C$12*100</f>
        <v>1.4893641356065417</v>
      </c>
      <c r="D89" s="661">
        <f>D44/'Dinámica de la deuda'!D$12*100</f>
        <v>1.4091481238925774</v>
      </c>
      <c r="E89" s="661">
        <f>E44/'Dinámica de la deuda'!E$12*100</f>
        <v>1.7310970318957071</v>
      </c>
      <c r="F89" s="661">
        <f>F44/'Dinámica de la deuda'!F$12*100</f>
        <v>0.48877448213906938</v>
      </c>
      <c r="G89" s="661">
        <f>G44/'Dinámica de la deuda'!G$12*100</f>
        <v>0.93683306688121304</v>
      </c>
      <c r="H89" s="661">
        <f>H44/'Dinámica de la deuda'!H$12*100</f>
        <v>0.88562840036689061</v>
      </c>
      <c r="I89" s="661">
        <f>I44/'Dinámica de la deuda'!I$12*100</f>
        <v>-0.23472553640037341</v>
      </c>
      <c r="J89" s="661">
        <f>J44/'Dinámica de la deuda'!J$12*100</f>
        <v>-1.002239972811533</v>
      </c>
      <c r="K89" s="661">
        <f>K44/'Dinámica de la deuda'!K$12*100</f>
        <v>-0.90185179294328655</v>
      </c>
      <c r="L89" s="661">
        <f>L44/'Dinámica de la deuda'!L$12*100</f>
        <v>1.1096844851208436</v>
      </c>
      <c r="M89" s="661">
        <f>M44/'Dinámica de la deuda'!M$12*100</f>
        <v>1.1344431298088546</v>
      </c>
      <c r="N89" s="661">
        <f>N44/'Dinámica de la deuda'!N$12*100</f>
        <v>0.11444338688612456</v>
      </c>
      <c r="O89" s="661">
        <f>O44/'Dinámica de la deuda'!O$12*100</f>
        <v>-0.24172927284944754</v>
      </c>
      <c r="P89" s="661">
        <f>P44/'Dinámica de la deuda'!P$12*100</f>
        <v>3.9480641665590607E-2</v>
      </c>
      <c r="Q89" s="661">
        <f>Q44/'Dinámica de la deuda'!Q$12*100</f>
        <v>0.18048234968856788</v>
      </c>
      <c r="R89" s="661">
        <f>R44/'Dinámica de la deuda'!R$12*100</f>
        <v>0.45020642068323613</v>
      </c>
      <c r="S89" s="661">
        <f>S44/'Dinámica de la deuda'!S$12*100</f>
        <v>1.1048773145732005</v>
      </c>
      <c r="T89" s="661">
        <f>T44/'Dinámica de la deuda'!T$12*100</f>
        <v>0.76249404558689915</v>
      </c>
      <c r="U89" s="313">
        <f>U44/'Dinámica de la deuda'!U$12*100</f>
        <v>0.34164852666381285</v>
      </c>
      <c r="V89" s="313">
        <f>V44/'Dinámica de la deuda'!V$12*100</f>
        <v>-0.44826667284460664</v>
      </c>
      <c r="W89" s="313">
        <f>W44/'Dinámica de la deuda'!W$12*100</f>
        <v>4.9538958629533534</v>
      </c>
      <c r="X89" s="313">
        <f>X44/'Dinámica de la deuda'!X$12*100</f>
        <v>3.6451099520905776</v>
      </c>
      <c r="Y89" s="662">
        <f>Y44/'Dinámica de la deuda'!Y$12*100</f>
        <v>0.98560702258717359</v>
      </c>
      <c r="Z89" s="123">
        <f>Z44/'Dinámica de la deuda'!Z$12*100</f>
        <v>0</v>
      </c>
      <c r="AA89" s="33">
        <f>AA44/'Dinámica de la deuda'!AA$12*100</f>
        <v>0</v>
      </c>
      <c r="AB89" s="33">
        <f>AB44/'Dinámica de la deuda'!AB$12*100</f>
        <v>0</v>
      </c>
      <c r="AC89" s="33">
        <f>AC44/'Dinámica de la deuda'!AC$12*100</f>
        <v>0</v>
      </c>
      <c r="AD89" s="33">
        <f>AD44/'Dinámica de la deuda'!AD$12*100</f>
        <v>0</v>
      </c>
      <c r="AE89" s="33">
        <f>AE44/'Dinámica de la deuda'!AE$12*100</f>
        <v>0</v>
      </c>
      <c r="AF89" s="33">
        <f>AF44/'Dinámica de la deuda'!AF$12*100</f>
        <v>0</v>
      </c>
      <c r="AG89" s="33">
        <f>AG44/'Dinámica de la deuda'!AG$12*100</f>
        <v>0</v>
      </c>
      <c r="AH89" s="33">
        <f>AH44/'Dinámica de la deuda'!AH$12*100</f>
        <v>0</v>
      </c>
      <c r="AI89" s="33">
        <f>AI44/'Dinámica de la deuda'!AI$12*100</f>
        <v>0</v>
      </c>
      <c r="AJ89" s="33">
        <f>AJ44/'Dinámica de la deuda'!AJ$12*100</f>
        <v>0</v>
      </c>
      <c r="AK89" s="312">
        <f>AK44/'Dinámica de la deuda'!AK$12*100</f>
        <v>0</v>
      </c>
      <c r="AM89" s="89"/>
      <c r="AN89" s="89"/>
      <c r="AO89" s="89"/>
      <c r="AP89" s="89"/>
      <c r="AQ89" s="89"/>
      <c r="AR89" s="89"/>
      <c r="AS89" s="89"/>
      <c r="AT89" s="89"/>
      <c r="AU89" s="89"/>
      <c r="AV89" s="89"/>
      <c r="AW89" s="89"/>
      <c r="AX89" s="89"/>
      <c r="AY89" s="89"/>
    </row>
    <row r="90" spans="1:51" s="11" customFormat="1">
      <c r="A90" s="385" t="s">
        <v>42</v>
      </c>
      <c r="B90" s="667">
        <f>B45/'Dinámica de la deuda'!B$12*100</f>
        <v>12.970781912506832</v>
      </c>
      <c r="C90" s="667">
        <f>C45/'Dinámica de la deuda'!C$12*100</f>
        <v>8.4900216400057609</v>
      </c>
      <c r="D90" s="667">
        <f>D45/'Dinámica de la deuda'!D$12*100</f>
        <v>10.203611564021918</v>
      </c>
      <c r="E90" s="667">
        <f>E45/'Dinámica de la deuda'!E$12*100</f>
        <v>10.075613446926049</v>
      </c>
      <c r="F90" s="667">
        <f>F45/'Dinámica de la deuda'!F$12*100</f>
        <v>9.4129886155416962</v>
      </c>
      <c r="G90" s="667">
        <f>G45/'Dinámica de la deuda'!G$12*100</f>
        <v>8.5737003083815875</v>
      </c>
      <c r="H90" s="667">
        <f>H45/'Dinámica de la deuda'!H$12*100</f>
        <v>9.0053156190475985</v>
      </c>
      <c r="I90" s="667">
        <f>I45/'Dinámica de la deuda'!I$12*100</f>
        <v>8.5537079387627042</v>
      </c>
      <c r="J90" s="667">
        <f>J45/'Dinámica de la deuda'!J$12*100</f>
        <v>7.2846405967203625</v>
      </c>
      <c r="K90" s="667">
        <f>K45/'Dinámica de la deuda'!K$12*100</f>
        <v>6.0466703637904233</v>
      </c>
      <c r="L90" s="667">
        <f>L45/'Dinámica de la deuda'!L$12*100</f>
        <v>7.06629699720028</v>
      </c>
      <c r="M90" s="667">
        <f>M45/'Dinámica de la deuda'!M$12*100</f>
        <v>6.7506572057899072</v>
      </c>
      <c r="N90" s="667">
        <f>N45/'Dinámica de la deuda'!N$12*100</f>
        <v>5.1911492518446138</v>
      </c>
      <c r="O90" s="667">
        <f>O45/'Dinámica de la deuda'!O$12*100</f>
        <v>4.7939246460813472</v>
      </c>
      <c r="P90" s="667">
        <f>P45/'Dinámica de la deuda'!P$12*100</f>
        <v>5.0841395501097937</v>
      </c>
      <c r="Q90" s="667">
        <f>Q45/'Dinámica de la deuda'!Q$12*100</f>
        <v>5.0900769607056171</v>
      </c>
      <c r="R90" s="667">
        <f>R45/'Dinámica de la deuda'!R$12*100</f>
        <v>5.8286749088237499</v>
      </c>
      <c r="S90" s="667">
        <f>S45/'Dinámica de la deuda'!S$12*100</f>
        <v>5.4022331249136304</v>
      </c>
      <c r="T90" s="667">
        <f>T45/'Dinámica de la deuda'!T$12*100</f>
        <v>5.7406528167491793</v>
      </c>
      <c r="U90" s="667">
        <f>U45/'Dinámica de la deuda'!U$12*100</f>
        <v>3.8251081916815979</v>
      </c>
      <c r="V90" s="667">
        <f>V45/'Dinámica de la deuda'!V$12*100</f>
        <v>5.1728133795003268</v>
      </c>
      <c r="W90" s="667">
        <f>W45/'Dinámica de la deuda'!W$12*100</f>
        <v>9.111475010028439</v>
      </c>
      <c r="X90" s="667">
        <f>X45/'Dinámica de la deuda'!X$12*100</f>
        <v>8.8904497455341307</v>
      </c>
      <c r="Y90" s="668">
        <f>Y45/'Dinámica de la deuda'!Y$12*100</f>
        <v>5.6944982662507417</v>
      </c>
      <c r="Z90" s="667">
        <f>Z45/'Dinámica de la deuda'!Z$12*100</f>
        <v>0</v>
      </c>
      <c r="AA90" s="389" t="e">
        <f>AA45/'Dinámica de la deuda'!AA$12*100</f>
        <v>#DIV/0!</v>
      </c>
      <c r="AB90" s="389" t="e">
        <f>AB45/'Dinámica de la deuda'!AB$12*100</f>
        <v>#DIV/0!</v>
      </c>
      <c r="AC90" s="389" t="e">
        <f>AC45/'Dinámica de la deuda'!AC$12*100</f>
        <v>#DIV/0!</v>
      </c>
      <c r="AD90" s="389" t="e">
        <f>AD45/'Dinámica de la deuda'!AD$12*100</f>
        <v>#DIV/0!</v>
      </c>
      <c r="AE90" s="389" t="e">
        <f>AE45/'Dinámica de la deuda'!AE$12*100</f>
        <v>#DIV/0!</v>
      </c>
      <c r="AF90" s="389" t="e">
        <f>AF45/'Dinámica de la deuda'!AF$12*100</f>
        <v>#DIV/0!</v>
      </c>
      <c r="AG90" s="389" t="e">
        <f>AG45/'Dinámica de la deuda'!AG$12*100</f>
        <v>#DIV/0!</v>
      </c>
      <c r="AH90" s="389" t="e">
        <f>AH45/'Dinámica de la deuda'!AH$12*100</f>
        <v>#DIV/0!</v>
      </c>
      <c r="AI90" s="389" t="e">
        <f>AI45/'Dinámica de la deuda'!AI$12*100</f>
        <v>#DIV/0!</v>
      </c>
      <c r="AJ90" s="389" t="e">
        <f>AJ45/'Dinámica de la deuda'!AJ$12*100</f>
        <v>#DIV/0!</v>
      </c>
      <c r="AK90" s="390" t="e">
        <f>AK45/'Dinámica de la deuda'!AK$12*100</f>
        <v>#DIV/0!</v>
      </c>
      <c r="AM90" s="89"/>
      <c r="AN90" s="89"/>
      <c r="AO90" s="89"/>
      <c r="AP90" s="89"/>
      <c r="AQ90" s="89"/>
      <c r="AR90" s="89"/>
      <c r="AS90" s="89"/>
      <c r="AT90" s="89"/>
      <c r="AU90" s="89"/>
      <c r="AV90" s="89"/>
      <c r="AW90" s="89"/>
      <c r="AX90" s="89"/>
      <c r="AY90" s="89"/>
    </row>
    <row r="91" spans="1:51" s="11" customFormat="1">
      <c r="B91" s="89"/>
      <c r="C91" s="89"/>
      <c r="D91" s="89"/>
      <c r="E91" s="89"/>
      <c r="F91" s="89"/>
      <c r="G91" s="89"/>
      <c r="H91" s="89"/>
      <c r="I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M91" s="89"/>
      <c r="AN91" s="89"/>
      <c r="AO91" s="89"/>
      <c r="AP91" s="89"/>
      <c r="AQ91" s="89"/>
      <c r="AR91" s="89"/>
      <c r="AS91" s="89"/>
      <c r="AT91" s="89"/>
      <c r="AU91" s="89"/>
      <c r="AV91" s="89"/>
      <c r="AW91" s="89"/>
      <c r="AX91" s="89"/>
      <c r="AY91" s="89"/>
    </row>
    <row r="117" spans="1:51" ht="16">
      <c r="A117" s="39"/>
      <c r="B117" s="133"/>
      <c r="C117" s="130"/>
      <c r="D117" s="130"/>
      <c r="AM117" s="89"/>
      <c r="AN117" s="89"/>
      <c r="AO117" s="89"/>
      <c r="AP117" s="89"/>
      <c r="AQ117" s="89"/>
      <c r="AR117" s="89"/>
      <c r="AS117" s="89"/>
      <c r="AT117" s="89"/>
      <c r="AU117" s="89"/>
      <c r="AV117" s="89"/>
      <c r="AW117" s="89"/>
      <c r="AX117" s="89"/>
      <c r="AY117" s="89"/>
    </row>
    <row r="130" spans="1:43" ht="16">
      <c r="A130" s="39"/>
      <c r="B130" s="40"/>
      <c r="C130" s="130"/>
      <c r="D130" s="130"/>
      <c r="V130" s="87"/>
      <c r="X130" s="436"/>
      <c r="Z130" s="89"/>
      <c r="AA130" s="89"/>
      <c r="AB130" s="89"/>
      <c r="AC130" s="89"/>
      <c r="AD130" s="89"/>
      <c r="AE130" s="89"/>
      <c r="AF130" s="89"/>
      <c r="AG130" s="89"/>
      <c r="AH130" s="89"/>
      <c r="AI130" s="89"/>
      <c r="AJ130" s="89"/>
      <c r="AK130" s="89"/>
    </row>
    <row r="131" spans="1:43" ht="16">
      <c r="A131" s="39"/>
      <c r="B131" s="123"/>
      <c r="C131" s="123"/>
      <c r="D131" s="123"/>
      <c r="E131" s="123"/>
      <c r="F131" s="123"/>
      <c r="G131" s="123"/>
      <c r="H131" s="123"/>
      <c r="I131" s="123"/>
      <c r="J131" s="123"/>
      <c r="K131" s="123"/>
      <c r="L131" s="123"/>
      <c r="M131" s="123"/>
      <c r="N131" s="123"/>
      <c r="O131" s="123"/>
      <c r="P131" s="123"/>
      <c r="Q131" s="123"/>
      <c r="R131" s="123"/>
      <c r="S131" s="123"/>
      <c r="T131" s="123"/>
      <c r="U131" s="123"/>
      <c r="V131" s="87"/>
      <c r="X131" s="437"/>
      <c r="Z131" s="10"/>
      <c r="AA131" s="10"/>
      <c r="AB131" s="10"/>
      <c r="AC131" s="10"/>
      <c r="AD131" s="10"/>
      <c r="AE131" s="10"/>
      <c r="AF131" s="10"/>
      <c r="AG131" s="10"/>
      <c r="AH131" s="10"/>
      <c r="AI131" s="10"/>
      <c r="AJ131" s="10"/>
      <c r="AK131" s="10"/>
    </row>
    <row r="132" spans="1:43" ht="16">
      <c r="A132" s="39"/>
      <c r="B132" s="130"/>
      <c r="V132" s="87"/>
      <c r="X132" s="438"/>
      <c r="Z132" s="10"/>
      <c r="AA132" s="10"/>
      <c r="AB132" s="10"/>
      <c r="AC132" s="10"/>
      <c r="AD132" s="10"/>
      <c r="AE132" s="10"/>
      <c r="AF132" s="10"/>
      <c r="AG132" s="10"/>
      <c r="AH132" s="10"/>
      <c r="AI132" s="10"/>
      <c r="AJ132" s="10"/>
      <c r="AK132" s="10"/>
    </row>
    <row r="133" spans="1:43" ht="16">
      <c r="A133" s="39"/>
      <c r="B133" s="341"/>
      <c r="C133" s="340"/>
      <c r="D133" s="340"/>
      <c r="E133" s="340"/>
      <c r="F133" s="340"/>
      <c r="G133" s="340"/>
      <c r="H133" s="340"/>
      <c r="I133" s="340"/>
      <c r="J133" s="340"/>
      <c r="K133" s="340"/>
      <c r="L133" s="340"/>
      <c r="M133" s="340"/>
      <c r="N133" s="340"/>
      <c r="O133" s="340"/>
      <c r="P133" s="340"/>
      <c r="Q133" s="340"/>
      <c r="R133" s="340"/>
      <c r="S133" s="340"/>
      <c r="T133" s="340"/>
      <c r="U133" s="340"/>
      <c r="V133" s="87"/>
      <c r="X133" s="439"/>
      <c r="Z133" s="338"/>
    </row>
    <row r="134" spans="1:43" ht="16">
      <c r="A134" s="39"/>
      <c r="B134" s="341"/>
      <c r="C134" s="340"/>
      <c r="D134" s="340"/>
      <c r="E134" s="340"/>
      <c r="F134" s="340"/>
      <c r="G134" s="340"/>
      <c r="H134" s="340"/>
      <c r="I134" s="340"/>
      <c r="J134" s="340"/>
      <c r="K134" s="340"/>
      <c r="L134" s="340"/>
      <c r="M134" s="340"/>
      <c r="N134" s="340"/>
      <c r="O134" s="340"/>
      <c r="P134" s="340"/>
      <c r="Q134" s="340"/>
      <c r="R134" s="340"/>
      <c r="S134" s="340"/>
      <c r="T134" s="340"/>
      <c r="U134" s="340"/>
      <c r="V134" s="87"/>
      <c r="X134" s="436"/>
      <c r="Z134" s="89"/>
      <c r="AA134" s="89"/>
      <c r="AB134" s="89"/>
      <c r="AC134" s="89"/>
      <c r="AD134" s="89"/>
      <c r="AE134" s="89"/>
      <c r="AF134" s="89"/>
      <c r="AG134" s="89"/>
      <c r="AH134" s="89"/>
      <c r="AI134" s="89"/>
      <c r="AJ134" s="89"/>
      <c r="AK134" s="89"/>
    </row>
    <row r="135" spans="1:43" ht="16">
      <c r="A135" s="39"/>
      <c r="B135" s="341"/>
      <c r="C135" s="340"/>
      <c r="D135" s="340"/>
      <c r="E135" s="340"/>
      <c r="F135" s="340"/>
      <c r="G135" s="340"/>
      <c r="H135" s="340"/>
      <c r="I135" s="340"/>
      <c r="J135" s="340"/>
      <c r="K135" s="340"/>
      <c r="L135" s="340"/>
      <c r="M135" s="340"/>
      <c r="N135" s="340"/>
      <c r="O135" s="340"/>
      <c r="P135" s="340"/>
      <c r="Q135" s="340"/>
      <c r="R135" s="340"/>
      <c r="S135" s="340"/>
      <c r="T135" s="340"/>
      <c r="U135" s="340"/>
      <c r="V135" s="87"/>
      <c r="X135" s="437"/>
      <c r="Z135" s="10"/>
      <c r="AA135" s="10"/>
      <c r="AB135" s="10"/>
      <c r="AC135" s="10"/>
      <c r="AD135" s="10"/>
      <c r="AE135" s="10"/>
      <c r="AF135" s="10"/>
      <c r="AG135" s="10"/>
      <c r="AH135" s="10"/>
      <c r="AI135" s="10"/>
      <c r="AJ135" s="10"/>
      <c r="AK135" s="10"/>
    </row>
    <row r="136" spans="1:43" ht="16">
      <c r="A136" s="39"/>
      <c r="B136" s="341"/>
      <c r="C136" s="340"/>
      <c r="D136" s="340"/>
      <c r="E136" s="340"/>
      <c r="F136" s="340"/>
      <c r="G136" s="340"/>
      <c r="H136" s="340"/>
      <c r="I136" s="340"/>
      <c r="J136" s="340"/>
      <c r="K136" s="340"/>
      <c r="L136" s="340"/>
      <c r="M136" s="340"/>
      <c r="N136" s="340"/>
      <c r="O136" s="340"/>
      <c r="P136" s="340"/>
      <c r="Q136" s="340"/>
      <c r="R136" s="340"/>
      <c r="S136" s="340"/>
      <c r="T136" s="340"/>
      <c r="U136" s="340"/>
      <c r="V136" s="87"/>
      <c r="X136" s="438"/>
      <c r="Z136" s="10"/>
      <c r="AA136" s="10"/>
      <c r="AB136" s="10"/>
      <c r="AC136" s="10"/>
      <c r="AD136" s="10"/>
      <c r="AE136" s="10"/>
      <c r="AF136" s="10"/>
      <c r="AG136" s="10"/>
      <c r="AH136" s="10"/>
      <c r="AI136" s="10"/>
      <c r="AJ136" s="10"/>
      <c r="AK136" s="10"/>
    </row>
    <row r="137" spans="1:43" ht="16">
      <c r="A137" s="39"/>
      <c r="B137" s="341"/>
      <c r="C137" s="340"/>
      <c r="D137" s="340"/>
      <c r="E137" s="340"/>
      <c r="F137" s="340"/>
      <c r="G137" s="340"/>
      <c r="H137" s="340"/>
      <c r="I137" s="340"/>
      <c r="J137" s="340"/>
      <c r="K137" s="340"/>
      <c r="L137" s="340"/>
      <c r="M137" s="340"/>
      <c r="N137" s="340"/>
      <c r="O137" s="340"/>
      <c r="P137" s="340"/>
      <c r="Q137" s="340"/>
      <c r="R137" s="340"/>
      <c r="S137" s="340"/>
      <c r="T137" s="340"/>
      <c r="U137" s="340"/>
      <c r="V137" s="87"/>
      <c r="X137" s="439"/>
      <c r="Z137" s="338"/>
    </row>
    <row r="138" spans="1:43" s="10" customFormat="1" ht="16">
      <c r="A138" s="39"/>
      <c r="B138" s="341"/>
      <c r="C138" s="340"/>
      <c r="D138" s="340"/>
      <c r="E138" s="340"/>
      <c r="F138" s="340"/>
      <c r="G138" s="340"/>
      <c r="H138" s="340"/>
      <c r="I138" s="340"/>
      <c r="J138" s="340"/>
      <c r="K138" s="340"/>
      <c r="L138" s="340"/>
      <c r="M138" s="340"/>
      <c r="N138" s="340"/>
      <c r="O138" s="340"/>
      <c r="P138" s="340"/>
      <c r="Q138" s="340"/>
      <c r="R138" s="340"/>
      <c r="S138" s="340"/>
      <c r="T138" s="340"/>
      <c r="U138" s="340"/>
      <c r="V138" s="87"/>
      <c r="X138" s="440"/>
      <c r="Z138" s="435"/>
      <c r="AA138" s="435"/>
      <c r="AB138" s="435"/>
      <c r="AC138" s="435"/>
      <c r="AD138" s="435"/>
      <c r="AE138" s="435"/>
      <c r="AF138" s="435"/>
      <c r="AG138" s="435"/>
      <c r="AH138" s="435"/>
      <c r="AI138" s="435"/>
      <c r="AJ138" s="435"/>
      <c r="AK138" s="435"/>
    </row>
    <row r="139" spans="1:43" s="10" customFormat="1" ht="16">
      <c r="A139" s="39"/>
      <c r="B139" s="341"/>
      <c r="C139" s="340"/>
      <c r="D139" s="340"/>
      <c r="E139" s="340"/>
      <c r="F139" s="340"/>
      <c r="G139" s="340"/>
      <c r="H139" s="340"/>
      <c r="I139" s="340"/>
      <c r="J139" s="340"/>
      <c r="K139" s="340"/>
      <c r="L139" s="340"/>
      <c r="M139" s="340"/>
      <c r="N139" s="340"/>
      <c r="O139" s="340"/>
      <c r="P139" s="340"/>
      <c r="Q139" s="340"/>
      <c r="R139" s="340"/>
      <c r="S139" s="340"/>
      <c r="T139" s="340"/>
      <c r="U139" s="340"/>
      <c r="V139" s="87"/>
      <c r="X139" s="439"/>
      <c r="Z139" s="434"/>
      <c r="AA139" s="434"/>
      <c r="AB139" s="434"/>
      <c r="AC139" s="434"/>
      <c r="AD139" s="434"/>
      <c r="AE139" s="434"/>
      <c r="AF139" s="434"/>
      <c r="AG139" s="434"/>
      <c r="AH139" s="434"/>
      <c r="AI139" s="434"/>
      <c r="AJ139" s="434"/>
      <c r="AK139" s="434"/>
    </row>
    <row r="140" spans="1:43" s="10" customFormat="1" ht="16">
      <c r="A140" s="39"/>
      <c r="B140" s="342"/>
      <c r="C140" s="338"/>
      <c r="D140" s="338"/>
      <c r="E140" s="338"/>
      <c r="F140" s="338"/>
      <c r="G140" s="338"/>
      <c r="H140" s="338"/>
      <c r="I140" s="338"/>
      <c r="J140" s="338"/>
      <c r="K140" s="338"/>
      <c r="L140" s="338"/>
      <c r="M140" s="338"/>
      <c r="N140" s="338"/>
      <c r="O140" s="338"/>
      <c r="P140" s="338"/>
      <c r="Q140" s="338"/>
      <c r="R140" s="338"/>
      <c r="S140" s="338"/>
      <c r="T140" s="338"/>
      <c r="U140" s="338"/>
      <c r="V140" s="87"/>
      <c r="X140" s="441"/>
      <c r="Z140" s="434"/>
      <c r="AA140" s="434"/>
      <c r="AB140" s="434"/>
      <c r="AC140" s="434"/>
      <c r="AD140" s="434"/>
      <c r="AE140" s="434"/>
      <c r="AF140" s="434"/>
      <c r="AG140" s="434"/>
      <c r="AH140" s="434"/>
      <c r="AI140" s="434"/>
      <c r="AJ140" s="434"/>
      <c r="AK140" s="434"/>
    </row>
    <row r="141" spans="1:43" s="10" customFormat="1" ht="16">
      <c r="A141" s="39"/>
      <c r="B141" s="342"/>
      <c r="C141" s="338"/>
      <c r="D141" s="338"/>
      <c r="E141" s="338"/>
      <c r="F141" s="338"/>
      <c r="G141" s="338"/>
      <c r="H141" s="338"/>
      <c r="I141" s="338"/>
      <c r="J141" s="338"/>
      <c r="K141" s="338"/>
      <c r="L141" s="338"/>
      <c r="M141" s="338"/>
      <c r="N141" s="338"/>
      <c r="O141" s="338"/>
      <c r="P141" s="338"/>
      <c r="Q141" s="338"/>
      <c r="R141" s="338"/>
      <c r="S141" s="338"/>
      <c r="T141" s="338"/>
      <c r="U141" s="338"/>
      <c r="V141" s="87"/>
      <c r="X141" s="441"/>
      <c r="Z141" s="434"/>
      <c r="AA141" s="434"/>
      <c r="AB141" s="434"/>
      <c r="AC141" s="434"/>
      <c r="AD141" s="434"/>
      <c r="AE141" s="434"/>
      <c r="AF141" s="434"/>
      <c r="AG141" s="434"/>
      <c r="AH141" s="434"/>
      <c r="AI141" s="434"/>
      <c r="AJ141" s="434"/>
      <c r="AK141" s="434"/>
    </row>
    <row r="142" spans="1:43">
      <c r="V142" s="87"/>
      <c r="X142" s="442"/>
      <c r="Z142" s="89"/>
      <c r="AA142" s="89"/>
      <c r="AB142" s="89"/>
      <c r="AC142" s="89"/>
      <c r="AD142" s="89"/>
      <c r="AE142" s="89"/>
      <c r="AF142" s="89"/>
      <c r="AG142" s="89"/>
      <c r="AH142" s="89"/>
      <c r="AI142" s="89"/>
      <c r="AJ142" s="89"/>
      <c r="AK142" s="89"/>
      <c r="AL142" s="33"/>
      <c r="AM142" s="33"/>
      <c r="AN142" s="33"/>
      <c r="AO142" s="33"/>
      <c r="AP142" s="33"/>
      <c r="AQ142" s="33"/>
    </row>
    <row r="143" spans="1:43">
      <c r="V143" s="87"/>
      <c r="W143" s="10"/>
      <c r="X143" s="439"/>
      <c r="Y143" s="10"/>
      <c r="Z143" s="434"/>
      <c r="AA143" s="434"/>
      <c r="AB143" s="434"/>
      <c r="AC143" s="434"/>
      <c r="AD143" s="434"/>
      <c r="AE143" s="434"/>
      <c r="AF143" s="434"/>
      <c r="AG143" s="434"/>
      <c r="AH143" s="434"/>
      <c r="AI143" s="434"/>
      <c r="AJ143" s="434"/>
      <c r="AK143" s="434"/>
      <c r="AL143" s="10"/>
      <c r="AM143" s="10"/>
      <c r="AN143" s="10"/>
      <c r="AO143" s="10"/>
      <c r="AP143" s="10"/>
      <c r="AQ143" s="33"/>
    </row>
    <row r="144" spans="1:43">
      <c r="V144" s="87"/>
      <c r="W144" s="10"/>
      <c r="X144" s="441"/>
      <c r="Y144" s="10"/>
      <c r="Z144" s="434"/>
      <c r="AA144" s="434"/>
      <c r="AB144" s="434"/>
      <c r="AC144" s="434"/>
      <c r="AD144" s="434"/>
      <c r="AE144" s="434"/>
      <c r="AF144" s="434"/>
      <c r="AG144" s="434"/>
      <c r="AH144" s="434"/>
      <c r="AI144" s="434"/>
      <c r="AJ144" s="434"/>
      <c r="AK144" s="434"/>
      <c r="AL144" s="10"/>
      <c r="AM144" s="10"/>
      <c r="AN144" s="10"/>
      <c r="AO144" s="10"/>
      <c r="AP144" s="10"/>
      <c r="AQ144" s="33"/>
    </row>
    <row r="145" spans="1:43">
      <c r="V145" s="87"/>
      <c r="W145" s="10"/>
      <c r="X145" s="441"/>
      <c r="Y145" s="10"/>
      <c r="Z145" s="434"/>
      <c r="AA145" s="434"/>
      <c r="AB145" s="434"/>
      <c r="AC145" s="434"/>
      <c r="AD145" s="434"/>
      <c r="AE145" s="434"/>
      <c r="AF145" s="434"/>
      <c r="AG145" s="434"/>
      <c r="AH145" s="434"/>
      <c r="AI145" s="434"/>
      <c r="AJ145" s="434"/>
      <c r="AK145" s="434"/>
      <c r="AL145" s="10"/>
      <c r="AM145" s="10"/>
      <c r="AN145" s="10"/>
      <c r="AO145" s="10"/>
      <c r="AP145" s="10"/>
      <c r="AQ145" s="33"/>
    </row>
    <row r="146" spans="1:43">
      <c r="V146" s="87"/>
      <c r="X146" s="442"/>
      <c r="Z146" s="89"/>
      <c r="AA146" s="89"/>
      <c r="AB146" s="89"/>
      <c r="AC146" s="89"/>
      <c r="AD146" s="89"/>
      <c r="AE146" s="89"/>
      <c r="AF146" s="89"/>
      <c r="AG146" s="89"/>
      <c r="AH146" s="89"/>
      <c r="AI146" s="89"/>
      <c r="AJ146" s="89"/>
      <c r="AK146" s="89"/>
      <c r="AL146" s="33"/>
      <c r="AM146" s="33"/>
      <c r="AN146" s="33"/>
      <c r="AO146" s="33"/>
      <c r="AP146" s="33"/>
      <c r="AQ146" s="33"/>
    </row>
    <row r="147" spans="1:43">
      <c r="V147" s="87"/>
      <c r="W147" s="10"/>
      <c r="X147" s="439"/>
      <c r="Y147" s="10"/>
      <c r="Z147" s="434"/>
      <c r="AA147" s="434"/>
      <c r="AB147" s="434"/>
      <c r="AC147" s="434"/>
      <c r="AD147" s="434"/>
      <c r="AE147" s="434"/>
      <c r="AF147" s="434"/>
      <c r="AG147" s="434"/>
      <c r="AH147" s="434"/>
      <c r="AI147" s="434"/>
      <c r="AJ147" s="434"/>
      <c r="AK147" s="434"/>
      <c r="AL147" s="10"/>
      <c r="AM147" s="10"/>
      <c r="AN147" s="10"/>
      <c r="AO147" s="10"/>
      <c r="AP147" s="10"/>
    </row>
    <row r="148" spans="1:43">
      <c r="V148" s="87"/>
      <c r="W148" s="10"/>
      <c r="X148" s="441"/>
      <c r="Y148" s="10"/>
      <c r="Z148" s="434"/>
      <c r="AA148" s="434"/>
      <c r="AB148" s="434"/>
      <c r="AC148" s="434"/>
      <c r="AD148" s="434"/>
      <c r="AE148" s="434"/>
      <c r="AF148" s="434"/>
      <c r="AG148" s="434"/>
      <c r="AH148" s="434"/>
      <c r="AI148" s="434"/>
      <c r="AJ148" s="434"/>
      <c r="AK148" s="434"/>
      <c r="AL148" s="10"/>
      <c r="AM148" s="10"/>
      <c r="AN148" s="10"/>
      <c r="AO148" s="10"/>
      <c r="AP148" s="10"/>
    </row>
    <row r="149" spans="1:43">
      <c r="V149" s="87"/>
      <c r="W149" s="10"/>
      <c r="X149" s="441"/>
      <c r="Y149" s="10"/>
      <c r="Z149" s="434"/>
      <c r="AA149" s="434"/>
      <c r="AB149" s="434"/>
      <c r="AC149" s="434"/>
      <c r="AD149" s="434"/>
      <c r="AE149" s="434"/>
      <c r="AF149" s="434"/>
      <c r="AG149" s="434"/>
      <c r="AH149" s="434"/>
      <c r="AI149" s="434"/>
      <c r="AJ149" s="434"/>
      <c r="AK149" s="434"/>
      <c r="AL149" s="10"/>
      <c r="AM149" s="10"/>
      <c r="AN149" s="10"/>
      <c r="AO149" s="10"/>
      <c r="AP149" s="10"/>
    </row>
    <row r="150" spans="1:43" s="10" customFormat="1" ht="16">
      <c r="A150" s="39"/>
      <c r="B150" s="40"/>
      <c r="C150" s="130"/>
      <c r="D150" s="130"/>
      <c r="E150" s="5"/>
      <c r="F150" s="5"/>
      <c r="G150" s="5"/>
      <c r="H150" s="5"/>
      <c r="I150" s="5"/>
      <c r="J150" s="5"/>
      <c r="K150" s="5"/>
      <c r="L150" s="5"/>
      <c r="M150" s="5"/>
      <c r="N150" s="5"/>
      <c r="O150" s="5"/>
      <c r="P150" s="5"/>
      <c r="Q150" s="5"/>
      <c r="R150" s="5"/>
      <c r="S150" s="5"/>
      <c r="T150" s="5"/>
      <c r="U150" s="5"/>
      <c r="V150" s="87"/>
      <c r="W150" s="5"/>
      <c r="X150" s="442"/>
      <c r="Y150" s="5"/>
      <c r="Z150" s="89"/>
      <c r="AA150" s="89"/>
      <c r="AB150" s="89"/>
      <c r="AC150" s="89"/>
      <c r="AD150" s="89"/>
      <c r="AE150" s="89"/>
      <c r="AF150" s="89"/>
      <c r="AG150" s="89"/>
      <c r="AH150" s="89"/>
      <c r="AI150" s="89"/>
      <c r="AJ150" s="89"/>
      <c r="AK150" s="89"/>
      <c r="AL150" s="33"/>
      <c r="AM150" s="33"/>
      <c r="AN150" s="33"/>
      <c r="AO150" s="33"/>
      <c r="AP150" s="33"/>
    </row>
    <row r="151" spans="1:43" s="10" customFormat="1" ht="16">
      <c r="A151" s="39"/>
      <c r="B151" s="40"/>
      <c r="C151" s="130"/>
      <c r="D151" s="130"/>
      <c r="E151" s="5"/>
      <c r="F151" s="5"/>
      <c r="G151" s="5"/>
      <c r="H151" s="5"/>
      <c r="I151" s="5"/>
      <c r="J151" s="5"/>
      <c r="K151" s="5"/>
      <c r="L151" s="5"/>
      <c r="M151" s="5"/>
      <c r="N151" s="5"/>
      <c r="O151" s="5"/>
      <c r="P151" s="5"/>
      <c r="Q151" s="5"/>
      <c r="R151" s="5"/>
      <c r="S151" s="5"/>
      <c r="T151" s="5"/>
      <c r="U151" s="5"/>
      <c r="V151" s="87"/>
      <c r="X151" s="439"/>
      <c r="Z151" s="434"/>
      <c r="AA151" s="434"/>
      <c r="AB151" s="434"/>
      <c r="AC151" s="434"/>
      <c r="AD151" s="434"/>
      <c r="AE151" s="434"/>
      <c r="AF151" s="434"/>
      <c r="AG151" s="434"/>
      <c r="AH151" s="434"/>
      <c r="AI151" s="434"/>
      <c r="AJ151" s="434"/>
      <c r="AK151" s="434"/>
    </row>
    <row r="152" spans="1:43" s="10" customFormat="1" ht="16">
      <c r="A152" s="39"/>
      <c r="B152" s="40"/>
      <c r="C152" s="130"/>
      <c r="D152" s="130"/>
      <c r="E152" s="5"/>
      <c r="F152" s="5"/>
      <c r="G152" s="5"/>
      <c r="H152" s="5"/>
      <c r="I152" s="5"/>
      <c r="J152" s="5"/>
      <c r="K152" s="5"/>
      <c r="L152" s="5"/>
      <c r="M152" s="5"/>
      <c r="N152" s="5"/>
      <c r="O152" s="5"/>
      <c r="P152" s="5"/>
      <c r="Q152" s="5"/>
      <c r="R152" s="5"/>
      <c r="S152" s="5"/>
      <c r="T152" s="5"/>
      <c r="U152" s="5"/>
      <c r="V152" s="87"/>
      <c r="X152" s="441"/>
      <c r="Z152" s="434"/>
      <c r="AA152" s="434"/>
      <c r="AB152" s="434"/>
      <c r="AC152" s="434"/>
      <c r="AD152" s="434"/>
      <c r="AE152" s="434"/>
      <c r="AF152" s="434"/>
      <c r="AG152" s="434"/>
      <c r="AH152" s="434"/>
      <c r="AI152" s="434"/>
      <c r="AJ152" s="434"/>
      <c r="AK152" s="434"/>
    </row>
    <row r="153" spans="1:43" s="10" customFormat="1" ht="16">
      <c r="A153" s="39"/>
      <c r="B153" s="40"/>
      <c r="C153" s="130"/>
      <c r="D153" s="130"/>
      <c r="E153" s="5"/>
      <c r="F153" s="5"/>
      <c r="G153" s="5"/>
      <c r="H153" s="5"/>
      <c r="I153" s="5"/>
      <c r="J153" s="5"/>
      <c r="K153" s="5"/>
      <c r="L153" s="5"/>
      <c r="M153" s="5"/>
      <c r="N153" s="5"/>
      <c r="O153" s="5"/>
      <c r="P153" s="5"/>
      <c r="Q153" s="5"/>
      <c r="R153" s="5"/>
      <c r="S153" s="5"/>
      <c r="T153" s="5"/>
      <c r="U153" s="5"/>
      <c r="V153" s="87"/>
      <c r="X153" s="441"/>
      <c r="Z153" s="434"/>
      <c r="AA153" s="434"/>
      <c r="AB153" s="434"/>
      <c r="AC153" s="434"/>
      <c r="AD153" s="434"/>
      <c r="AE153" s="434"/>
      <c r="AF153" s="434"/>
      <c r="AG153" s="434"/>
      <c r="AH153" s="434"/>
      <c r="AI153" s="434"/>
      <c r="AJ153" s="434"/>
      <c r="AK153" s="434"/>
    </row>
    <row r="154" spans="1:43" s="10" customFormat="1" ht="16">
      <c r="A154" s="39"/>
      <c r="B154" s="40"/>
      <c r="C154" s="130"/>
      <c r="D154" s="130"/>
      <c r="E154" s="5"/>
      <c r="F154" s="5"/>
      <c r="G154" s="5"/>
      <c r="H154" s="5"/>
      <c r="I154" s="5"/>
      <c r="J154" s="5"/>
      <c r="K154" s="5"/>
      <c r="L154" s="5"/>
      <c r="M154" s="5"/>
      <c r="N154" s="5"/>
      <c r="O154" s="5"/>
      <c r="P154" s="5"/>
      <c r="Q154" s="5"/>
      <c r="R154" s="5"/>
      <c r="S154" s="5"/>
      <c r="T154" s="5"/>
      <c r="U154" s="5"/>
      <c r="V154" s="87"/>
      <c r="W154" s="5"/>
      <c r="X154" s="442"/>
      <c r="Y154" s="5"/>
      <c r="Z154" s="89"/>
      <c r="AA154" s="89"/>
      <c r="AB154" s="89"/>
      <c r="AC154" s="89"/>
      <c r="AD154" s="89"/>
      <c r="AE154" s="89"/>
      <c r="AF154" s="89"/>
      <c r="AG154" s="89"/>
      <c r="AH154" s="89"/>
      <c r="AI154" s="89"/>
      <c r="AJ154" s="89"/>
      <c r="AK154" s="89"/>
      <c r="AL154" s="33"/>
      <c r="AM154" s="33"/>
      <c r="AN154" s="33"/>
      <c r="AO154" s="33"/>
      <c r="AP154" s="33"/>
    </row>
    <row r="155" spans="1:43" ht="16">
      <c r="A155" s="39"/>
      <c r="B155" s="40"/>
      <c r="C155" s="130"/>
      <c r="D155" s="130"/>
      <c r="V155" s="87"/>
      <c r="W155" s="10"/>
      <c r="X155" s="439"/>
      <c r="Y155" s="10"/>
      <c r="Z155" s="434"/>
      <c r="AA155" s="434"/>
      <c r="AB155" s="434"/>
      <c r="AC155" s="434"/>
      <c r="AD155" s="434"/>
      <c r="AE155" s="434"/>
      <c r="AF155" s="434"/>
      <c r="AG155" s="434"/>
      <c r="AH155" s="434"/>
      <c r="AI155" s="434"/>
      <c r="AJ155" s="434"/>
      <c r="AK155" s="434"/>
      <c r="AL155" s="10"/>
      <c r="AM155" s="10"/>
      <c r="AN155" s="10"/>
      <c r="AO155" s="10"/>
      <c r="AP155" s="10"/>
    </row>
    <row r="156" spans="1:43" ht="16">
      <c r="A156" s="39"/>
      <c r="B156" s="40"/>
      <c r="C156" s="130"/>
      <c r="D156" s="130"/>
      <c r="V156" s="87"/>
      <c r="W156" s="10"/>
      <c r="X156" s="441"/>
      <c r="Y156" s="10"/>
      <c r="Z156" s="434"/>
      <c r="AA156" s="434"/>
      <c r="AB156" s="434"/>
      <c r="AC156" s="434"/>
      <c r="AD156" s="434"/>
      <c r="AE156" s="434"/>
      <c r="AF156" s="434"/>
      <c r="AG156" s="434"/>
      <c r="AH156" s="434"/>
      <c r="AI156" s="434"/>
      <c r="AJ156" s="434"/>
      <c r="AK156" s="434"/>
      <c r="AL156" s="10"/>
      <c r="AM156" s="10"/>
      <c r="AN156" s="10"/>
      <c r="AO156" s="10"/>
      <c r="AP156" s="10"/>
    </row>
    <row r="157" spans="1:43" ht="16">
      <c r="A157" s="39"/>
      <c r="B157" s="40"/>
      <c r="C157" s="130"/>
      <c r="D157" s="130"/>
      <c r="V157" s="87"/>
      <c r="W157" s="10"/>
      <c r="X157" s="441"/>
      <c r="Y157" s="10"/>
      <c r="Z157" s="434"/>
      <c r="AA157" s="434"/>
      <c r="AB157" s="434"/>
      <c r="AC157" s="434"/>
      <c r="AD157" s="434"/>
      <c r="AE157" s="434"/>
      <c r="AF157" s="434"/>
      <c r="AG157" s="434"/>
      <c r="AH157" s="434"/>
      <c r="AI157" s="434"/>
      <c r="AJ157" s="434"/>
      <c r="AK157" s="434"/>
      <c r="AL157" s="10"/>
      <c r="AM157" s="10"/>
      <c r="AN157" s="10"/>
      <c r="AO157" s="10"/>
      <c r="AP157" s="10"/>
    </row>
    <row r="158" spans="1:43" ht="16">
      <c r="A158" s="39"/>
      <c r="B158" s="40"/>
      <c r="C158" s="130"/>
      <c r="D158" s="130"/>
      <c r="V158" s="87"/>
      <c r="X158" s="442"/>
      <c r="Z158" s="89"/>
      <c r="AA158" s="89"/>
      <c r="AB158" s="89"/>
      <c r="AC158" s="89"/>
      <c r="AD158" s="89"/>
      <c r="AE158" s="89"/>
      <c r="AF158" s="89"/>
      <c r="AG158" s="89"/>
      <c r="AH158" s="89"/>
      <c r="AI158" s="89"/>
      <c r="AJ158" s="89"/>
      <c r="AK158" s="89"/>
      <c r="AL158" s="33"/>
      <c r="AM158" s="33"/>
      <c r="AN158" s="33"/>
      <c r="AO158" s="33"/>
      <c r="AP158" s="33"/>
    </row>
    <row r="159" spans="1:43" ht="16">
      <c r="A159" s="39"/>
      <c r="B159" s="40"/>
      <c r="C159" s="130"/>
      <c r="D159" s="130"/>
      <c r="V159" s="87"/>
      <c r="W159" s="10"/>
      <c r="X159" s="439"/>
      <c r="Y159" s="10"/>
      <c r="Z159" s="434"/>
      <c r="AA159" s="434"/>
      <c r="AB159" s="434"/>
      <c r="AC159" s="434"/>
      <c r="AD159" s="434"/>
      <c r="AE159" s="434"/>
      <c r="AF159" s="434"/>
      <c r="AG159" s="434"/>
      <c r="AH159" s="434"/>
      <c r="AI159" s="434"/>
      <c r="AJ159" s="434"/>
      <c r="AK159" s="434"/>
      <c r="AL159" s="10"/>
      <c r="AM159" s="10"/>
      <c r="AN159" s="10"/>
      <c r="AO159" s="10"/>
      <c r="AP159" s="10"/>
    </row>
    <row r="160" spans="1:43" ht="16">
      <c r="A160" s="39"/>
      <c r="B160" s="40"/>
      <c r="C160" s="130"/>
      <c r="D160" s="130"/>
      <c r="V160" s="87"/>
      <c r="W160" s="10"/>
      <c r="X160" s="441"/>
      <c r="Y160" s="10"/>
      <c r="Z160" s="434"/>
      <c r="AA160" s="434"/>
      <c r="AB160" s="434"/>
      <c r="AC160" s="434"/>
      <c r="AD160" s="434"/>
      <c r="AE160" s="434"/>
      <c r="AF160" s="434"/>
      <c r="AG160" s="434"/>
      <c r="AH160" s="434"/>
      <c r="AI160" s="434"/>
      <c r="AJ160" s="434"/>
      <c r="AK160" s="434"/>
      <c r="AL160" s="10"/>
      <c r="AM160" s="10"/>
      <c r="AN160" s="10"/>
      <c r="AO160" s="10"/>
      <c r="AP160" s="10"/>
    </row>
    <row r="161" spans="1:42" ht="16">
      <c r="A161" s="39"/>
      <c r="B161" s="40"/>
      <c r="C161" s="130"/>
      <c r="D161" s="130"/>
      <c r="V161" s="87"/>
      <c r="W161" s="10"/>
      <c r="X161" s="441"/>
      <c r="Y161" s="10"/>
      <c r="Z161" s="434"/>
      <c r="AA161" s="434"/>
      <c r="AB161" s="434"/>
      <c r="AC161" s="434"/>
      <c r="AD161" s="434"/>
      <c r="AE161" s="434"/>
      <c r="AF161" s="434"/>
      <c r="AG161" s="434"/>
      <c r="AH161" s="434"/>
      <c r="AI161" s="434"/>
      <c r="AJ161" s="434"/>
      <c r="AK161" s="434"/>
      <c r="AL161" s="10"/>
      <c r="AM161" s="10"/>
      <c r="AN161" s="10"/>
      <c r="AO161" s="10"/>
      <c r="AP161" s="10"/>
    </row>
    <row r="162" spans="1:42" ht="16">
      <c r="A162" s="39"/>
      <c r="B162" s="40"/>
      <c r="C162" s="130"/>
      <c r="D162" s="130"/>
      <c r="V162" s="87"/>
      <c r="X162" s="442"/>
      <c r="Z162" s="89"/>
      <c r="AA162" s="89"/>
      <c r="AB162" s="89"/>
      <c r="AC162" s="89"/>
      <c r="AD162" s="89"/>
      <c r="AE162" s="89"/>
      <c r="AF162" s="89"/>
      <c r="AG162" s="89"/>
      <c r="AH162" s="89"/>
      <c r="AI162" s="89"/>
      <c r="AJ162" s="89"/>
      <c r="AK162" s="89"/>
      <c r="AL162" s="33"/>
      <c r="AM162" s="33"/>
      <c r="AN162" s="33"/>
      <c r="AO162" s="33"/>
      <c r="AP162" s="33"/>
    </row>
    <row r="163" spans="1:42" ht="16">
      <c r="A163" s="39"/>
      <c r="B163" s="40"/>
      <c r="C163" s="130"/>
      <c r="D163" s="130"/>
      <c r="V163" s="87"/>
      <c r="W163" s="10"/>
      <c r="X163" s="439"/>
      <c r="Y163" s="10"/>
      <c r="Z163" s="434"/>
      <c r="AA163" s="434"/>
      <c r="AB163" s="434"/>
      <c r="AC163" s="434"/>
      <c r="AD163" s="434"/>
      <c r="AE163" s="434"/>
      <c r="AF163" s="434"/>
      <c r="AG163" s="434"/>
      <c r="AH163" s="434"/>
      <c r="AI163" s="434"/>
      <c r="AJ163" s="434"/>
      <c r="AK163" s="434"/>
      <c r="AL163" s="10"/>
      <c r="AM163" s="10"/>
      <c r="AN163" s="10"/>
      <c r="AO163" s="10"/>
      <c r="AP163" s="10"/>
    </row>
    <row r="164" spans="1:42" ht="16">
      <c r="A164" s="39"/>
      <c r="B164" s="40"/>
      <c r="C164" s="130"/>
      <c r="D164" s="130"/>
      <c r="V164" s="87"/>
      <c r="W164" s="10"/>
      <c r="X164" s="441"/>
      <c r="Y164" s="10"/>
      <c r="Z164" s="434"/>
      <c r="AA164" s="434"/>
      <c r="AB164" s="434"/>
      <c r="AC164" s="434"/>
      <c r="AD164" s="434"/>
      <c r="AE164" s="434"/>
      <c r="AF164" s="434"/>
      <c r="AG164" s="434"/>
      <c r="AH164" s="434"/>
      <c r="AI164" s="434"/>
      <c r="AJ164" s="434"/>
      <c r="AK164" s="434"/>
      <c r="AL164" s="10"/>
      <c r="AM164" s="10"/>
      <c r="AN164" s="10"/>
      <c r="AO164" s="10"/>
      <c r="AP164" s="10"/>
    </row>
    <row r="165" spans="1:42" ht="16">
      <c r="A165" s="39"/>
      <c r="B165" s="40"/>
      <c r="C165" s="130"/>
      <c r="D165" s="130"/>
      <c r="V165" s="87"/>
      <c r="W165" s="10"/>
      <c r="X165" s="441"/>
      <c r="Y165" s="10"/>
      <c r="Z165" s="434"/>
      <c r="AA165" s="434"/>
      <c r="AB165" s="434"/>
      <c r="AC165" s="434"/>
      <c r="AD165" s="434"/>
      <c r="AE165" s="434"/>
      <c r="AF165" s="434"/>
      <c r="AG165" s="434"/>
      <c r="AH165" s="434"/>
      <c r="AI165" s="434"/>
      <c r="AJ165" s="434"/>
      <c r="AK165" s="434"/>
      <c r="AL165" s="10"/>
      <c r="AM165" s="10"/>
      <c r="AN165" s="10"/>
      <c r="AO165" s="10"/>
      <c r="AP165" s="10"/>
    </row>
    <row r="166" spans="1:42" ht="16">
      <c r="A166" s="39"/>
      <c r="B166" s="40"/>
      <c r="C166" s="130"/>
      <c r="D166" s="130"/>
      <c r="V166" s="87"/>
      <c r="X166" s="442"/>
      <c r="Z166" s="89"/>
      <c r="AA166" s="89"/>
      <c r="AB166" s="89"/>
      <c r="AC166" s="89"/>
      <c r="AD166" s="89"/>
      <c r="AE166" s="89"/>
      <c r="AF166" s="89"/>
      <c r="AG166" s="89"/>
      <c r="AH166" s="89"/>
      <c r="AI166" s="89"/>
      <c r="AJ166" s="89"/>
      <c r="AK166" s="89"/>
      <c r="AL166" s="33"/>
      <c r="AM166" s="33"/>
      <c r="AN166" s="33"/>
      <c r="AO166" s="33"/>
      <c r="AP166" s="33"/>
    </row>
    <row r="167" spans="1:42" ht="16">
      <c r="A167" s="39"/>
      <c r="B167" s="40"/>
      <c r="C167" s="130"/>
      <c r="D167" s="130"/>
      <c r="V167" s="87"/>
      <c r="W167" s="10"/>
      <c r="X167" s="439"/>
      <c r="Y167" s="10"/>
      <c r="Z167" s="434"/>
      <c r="AA167" s="434"/>
      <c r="AB167" s="434"/>
      <c r="AC167" s="434"/>
      <c r="AD167" s="434"/>
      <c r="AE167" s="434"/>
      <c r="AF167" s="434"/>
      <c r="AG167" s="434"/>
      <c r="AH167" s="434"/>
      <c r="AI167" s="434"/>
      <c r="AJ167" s="434"/>
      <c r="AK167" s="434"/>
      <c r="AL167" s="10"/>
      <c r="AM167" s="10"/>
      <c r="AN167" s="10"/>
      <c r="AO167" s="10"/>
      <c r="AP167" s="10"/>
    </row>
    <row r="168" spans="1:42" ht="16">
      <c r="A168" s="39"/>
      <c r="B168" s="40"/>
      <c r="C168" s="130"/>
      <c r="D168" s="130"/>
      <c r="V168" s="87"/>
      <c r="W168" s="10"/>
      <c r="X168" s="441"/>
      <c r="Y168" s="10"/>
      <c r="Z168" s="434"/>
      <c r="AA168" s="434"/>
      <c r="AB168" s="434"/>
      <c r="AC168" s="434"/>
      <c r="AD168" s="434"/>
      <c r="AE168" s="434"/>
      <c r="AF168" s="434"/>
      <c r="AG168" s="434"/>
      <c r="AH168" s="434"/>
      <c r="AI168" s="434"/>
      <c r="AJ168" s="434"/>
      <c r="AK168" s="434"/>
      <c r="AL168" s="10"/>
      <c r="AM168" s="10"/>
      <c r="AN168" s="10"/>
      <c r="AO168" s="10"/>
      <c r="AP168" s="10"/>
    </row>
    <row r="169" spans="1:42" ht="16">
      <c r="A169" s="39"/>
      <c r="B169" s="40"/>
      <c r="C169" s="130"/>
      <c r="D169" s="130"/>
      <c r="V169" s="87"/>
      <c r="W169" s="10"/>
      <c r="X169" s="441"/>
      <c r="Y169" s="10"/>
      <c r="Z169" s="434"/>
      <c r="AA169" s="434"/>
      <c r="AB169" s="434"/>
      <c r="AC169" s="434"/>
      <c r="AD169" s="434"/>
      <c r="AE169" s="434"/>
      <c r="AF169" s="434"/>
      <c r="AG169" s="434"/>
      <c r="AH169" s="434"/>
      <c r="AI169" s="434"/>
      <c r="AJ169" s="434"/>
      <c r="AK169" s="434"/>
      <c r="AL169" s="10"/>
      <c r="AM169" s="10"/>
      <c r="AN169" s="10"/>
      <c r="AO169" s="10"/>
      <c r="AP169" s="10"/>
    </row>
    <row r="170" spans="1:42" ht="16">
      <c r="A170" s="39"/>
      <c r="B170" s="40"/>
      <c r="C170" s="130"/>
      <c r="D170" s="130"/>
      <c r="V170" s="87"/>
      <c r="X170" s="442"/>
      <c r="Z170" s="89"/>
      <c r="AA170" s="89"/>
      <c r="AB170" s="89"/>
      <c r="AC170" s="89"/>
      <c r="AD170" s="89"/>
      <c r="AE170" s="89"/>
      <c r="AF170" s="89"/>
      <c r="AG170" s="89"/>
      <c r="AH170" s="89"/>
      <c r="AI170" s="89"/>
      <c r="AJ170" s="89"/>
      <c r="AK170" s="89"/>
      <c r="AL170" s="33"/>
      <c r="AM170" s="33"/>
      <c r="AN170" s="33"/>
      <c r="AO170" s="33"/>
      <c r="AP170" s="33"/>
    </row>
    <row r="171" spans="1:42" ht="16">
      <c r="A171" s="39"/>
      <c r="B171" s="40"/>
      <c r="C171" s="130"/>
      <c r="D171" s="130"/>
      <c r="V171" s="87"/>
      <c r="W171" s="10"/>
      <c r="X171" s="439"/>
      <c r="Y171" s="10"/>
      <c r="Z171" s="434"/>
      <c r="AA171" s="434"/>
      <c r="AB171" s="434"/>
      <c r="AC171" s="434"/>
      <c r="AD171" s="434"/>
      <c r="AE171" s="434"/>
      <c r="AF171" s="434"/>
      <c r="AG171" s="434"/>
      <c r="AH171" s="434"/>
      <c r="AI171" s="434"/>
      <c r="AJ171" s="434"/>
      <c r="AK171" s="434"/>
      <c r="AL171" s="10"/>
      <c r="AM171" s="10"/>
      <c r="AN171" s="10"/>
      <c r="AO171" s="10"/>
      <c r="AP171" s="10"/>
    </row>
    <row r="172" spans="1:42" ht="16">
      <c r="A172" s="39"/>
      <c r="B172" s="40"/>
      <c r="C172" s="130"/>
      <c r="D172" s="130"/>
      <c r="V172" s="87"/>
      <c r="W172" s="10"/>
      <c r="X172" s="441"/>
      <c r="Y172" s="10"/>
      <c r="Z172" s="434"/>
      <c r="AA172" s="434"/>
      <c r="AB172" s="434"/>
      <c r="AC172" s="434"/>
      <c r="AD172" s="434"/>
      <c r="AE172" s="434"/>
      <c r="AF172" s="434"/>
      <c r="AG172" s="434"/>
      <c r="AH172" s="434"/>
      <c r="AI172" s="434"/>
      <c r="AJ172" s="434"/>
      <c r="AK172" s="434"/>
      <c r="AL172" s="10"/>
      <c r="AM172" s="10"/>
      <c r="AN172" s="10"/>
      <c r="AO172" s="10"/>
      <c r="AP172" s="10"/>
    </row>
    <row r="173" spans="1:42" ht="16">
      <c r="A173" s="39"/>
      <c r="B173" s="40"/>
      <c r="C173" s="130"/>
      <c r="D173" s="130"/>
      <c r="V173" s="87"/>
      <c r="W173" s="10"/>
      <c r="X173" s="441"/>
      <c r="Y173" s="10"/>
      <c r="Z173" s="434"/>
      <c r="AA173" s="434"/>
      <c r="AB173" s="434"/>
      <c r="AC173" s="434"/>
      <c r="AD173" s="434"/>
      <c r="AE173" s="434"/>
      <c r="AF173" s="434"/>
      <c r="AG173" s="434"/>
      <c r="AH173" s="434"/>
      <c r="AI173" s="434"/>
      <c r="AJ173" s="434"/>
      <c r="AK173" s="434"/>
      <c r="AL173" s="10"/>
      <c r="AM173" s="10"/>
      <c r="AN173" s="10"/>
      <c r="AO173" s="10"/>
      <c r="AP173" s="10"/>
    </row>
    <row r="174" spans="1:42" ht="16">
      <c r="A174" s="39"/>
      <c r="B174" s="40"/>
      <c r="C174" s="130"/>
      <c r="D174" s="130"/>
      <c r="V174" s="87"/>
      <c r="X174" s="442"/>
      <c r="Z174" s="89"/>
      <c r="AA174" s="89"/>
      <c r="AB174" s="89"/>
      <c r="AC174" s="89"/>
      <c r="AD174" s="89"/>
      <c r="AE174" s="89"/>
      <c r="AF174" s="89"/>
      <c r="AG174" s="89"/>
      <c r="AH174" s="89"/>
      <c r="AI174" s="89"/>
      <c r="AJ174" s="89"/>
      <c r="AK174" s="89"/>
      <c r="AL174" s="33"/>
      <c r="AM174" s="33"/>
      <c r="AN174" s="33"/>
      <c r="AO174" s="33"/>
      <c r="AP174" s="33"/>
    </row>
    <row r="175" spans="1:42" ht="16">
      <c r="A175" s="39"/>
      <c r="B175" s="40"/>
      <c r="C175" s="130"/>
      <c r="D175" s="130"/>
      <c r="V175" s="87"/>
      <c r="W175" s="10"/>
      <c r="X175" s="439"/>
      <c r="Y175" s="10"/>
      <c r="Z175" s="434"/>
      <c r="AA175" s="434"/>
      <c r="AB175" s="434"/>
      <c r="AC175" s="434"/>
      <c r="AD175" s="434"/>
      <c r="AE175" s="434"/>
      <c r="AF175" s="434"/>
      <c r="AG175" s="434"/>
      <c r="AH175" s="434"/>
      <c r="AI175" s="434"/>
      <c r="AJ175" s="434"/>
      <c r="AK175" s="434"/>
      <c r="AL175" s="10"/>
      <c r="AM175" s="10"/>
      <c r="AN175" s="10"/>
      <c r="AO175" s="10"/>
      <c r="AP175" s="10"/>
    </row>
    <row r="176" spans="1:42" ht="16">
      <c r="A176" s="39"/>
      <c r="B176" s="40"/>
      <c r="C176" s="130"/>
      <c r="D176" s="130"/>
      <c r="V176" s="87"/>
      <c r="W176" s="10"/>
      <c r="X176" s="441"/>
      <c r="Y176" s="10"/>
      <c r="Z176" s="434"/>
      <c r="AA176" s="434"/>
      <c r="AB176" s="434"/>
      <c r="AC176" s="434"/>
      <c r="AD176" s="434"/>
      <c r="AE176" s="434"/>
      <c r="AF176" s="434"/>
      <c r="AG176" s="434"/>
      <c r="AH176" s="434"/>
      <c r="AI176" s="434"/>
      <c r="AJ176" s="434"/>
      <c r="AK176" s="434"/>
      <c r="AL176" s="10"/>
      <c r="AM176" s="10"/>
      <c r="AN176" s="10"/>
      <c r="AO176" s="10"/>
      <c r="AP176" s="10"/>
    </row>
    <row r="177" spans="1:43" ht="16">
      <c r="A177" s="39"/>
      <c r="B177" s="40"/>
      <c r="C177" s="130"/>
      <c r="D177" s="130"/>
      <c r="V177" s="87"/>
      <c r="W177" s="10"/>
      <c r="X177" s="441"/>
      <c r="Y177" s="10"/>
      <c r="Z177" s="434"/>
      <c r="AA177" s="434"/>
      <c r="AB177" s="434"/>
      <c r="AC177" s="434"/>
      <c r="AD177" s="434"/>
      <c r="AE177" s="434"/>
      <c r="AF177" s="434"/>
      <c r="AG177" s="434"/>
      <c r="AH177" s="434"/>
      <c r="AI177" s="434"/>
      <c r="AJ177" s="434"/>
      <c r="AK177" s="434"/>
      <c r="AL177" s="10"/>
      <c r="AM177" s="10"/>
      <c r="AN177" s="10"/>
      <c r="AO177" s="10"/>
      <c r="AP177" s="10"/>
    </row>
    <row r="178" spans="1:43">
      <c r="V178" s="87"/>
      <c r="X178" s="442"/>
      <c r="Z178" s="89"/>
      <c r="AA178" s="89"/>
      <c r="AB178" s="89"/>
      <c r="AC178" s="89"/>
      <c r="AD178" s="89"/>
      <c r="AE178" s="89"/>
      <c r="AF178" s="89"/>
      <c r="AG178" s="89"/>
      <c r="AH178" s="89"/>
      <c r="AI178" s="89"/>
      <c r="AJ178" s="89"/>
      <c r="AK178" s="89"/>
      <c r="AL178" s="33"/>
      <c r="AM178" s="33"/>
      <c r="AN178" s="33"/>
      <c r="AO178" s="33"/>
      <c r="AP178" s="33"/>
    </row>
    <row r="179" spans="1:43">
      <c r="V179" s="87"/>
      <c r="W179" s="10"/>
      <c r="X179" s="439"/>
      <c r="Y179" s="10"/>
      <c r="Z179" s="434"/>
      <c r="AA179" s="434"/>
      <c r="AB179" s="434"/>
      <c r="AC179" s="434"/>
      <c r="AD179" s="434"/>
      <c r="AE179" s="434"/>
      <c r="AF179" s="434"/>
      <c r="AG179" s="434"/>
      <c r="AH179" s="434"/>
      <c r="AI179" s="434"/>
      <c r="AJ179" s="434"/>
      <c r="AK179" s="434"/>
      <c r="AL179" s="10"/>
      <c r="AM179" s="10"/>
      <c r="AN179" s="10"/>
      <c r="AO179" s="10"/>
      <c r="AP179" s="10"/>
    </row>
    <row r="180" spans="1:43">
      <c r="V180" s="87"/>
      <c r="W180" s="10"/>
      <c r="X180" s="441"/>
      <c r="Y180" s="10"/>
      <c r="Z180" s="434"/>
      <c r="AA180" s="434"/>
      <c r="AB180" s="434"/>
      <c r="AC180" s="434"/>
      <c r="AD180" s="434"/>
      <c r="AE180" s="434"/>
      <c r="AF180" s="434"/>
      <c r="AG180" s="434"/>
      <c r="AH180" s="434"/>
      <c r="AI180" s="434"/>
      <c r="AJ180" s="434"/>
      <c r="AK180" s="434"/>
      <c r="AL180" s="10"/>
      <c r="AM180" s="10"/>
      <c r="AN180" s="10"/>
      <c r="AO180" s="10"/>
      <c r="AP180" s="10"/>
    </row>
    <row r="181" spans="1:43">
      <c r="V181" s="87"/>
      <c r="W181" s="10"/>
      <c r="X181" s="441"/>
      <c r="Y181" s="10"/>
      <c r="Z181" s="434"/>
      <c r="AA181" s="434"/>
      <c r="AB181" s="434"/>
      <c r="AC181" s="434"/>
      <c r="AD181" s="434"/>
      <c r="AE181" s="434"/>
      <c r="AF181" s="434"/>
      <c r="AG181" s="434"/>
      <c r="AH181" s="434"/>
      <c r="AI181" s="434"/>
      <c r="AJ181" s="434"/>
      <c r="AK181" s="434"/>
      <c r="AL181" s="10"/>
      <c r="AM181" s="10"/>
      <c r="AN181" s="10"/>
      <c r="AO181" s="10"/>
      <c r="AP181" s="10"/>
    </row>
    <row r="182" spans="1:43">
      <c r="V182" s="87"/>
      <c r="X182" s="442"/>
      <c r="Z182" s="89"/>
      <c r="AA182" s="89"/>
      <c r="AB182" s="89"/>
      <c r="AC182" s="89"/>
      <c r="AD182" s="89"/>
      <c r="AE182" s="89"/>
      <c r="AF182" s="89"/>
      <c r="AG182" s="89"/>
      <c r="AH182" s="89"/>
      <c r="AI182" s="89"/>
      <c r="AJ182" s="89"/>
      <c r="AK182" s="89"/>
      <c r="AL182" s="33"/>
      <c r="AM182" s="33"/>
      <c r="AN182" s="33"/>
      <c r="AO182" s="33"/>
      <c r="AP182" s="33"/>
    </row>
    <row r="183" spans="1:43">
      <c r="V183" s="87"/>
      <c r="W183" s="10"/>
      <c r="X183" s="439"/>
      <c r="Y183" s="10"/>
      <c r="Z183" s="434"/>
      <c r="AA183" s="434"/>
      <c r="AB183" s="434"/>
      <c r="AC183" s="434"/>
      <c r="AD183" s="434"/>
      <c r="AE183" s="434"/>
      <c r="AF183" s="434"/>
      <c r="AG183" s="434"/>
      <c r="AH183" s="434"/>
      <c r="AI183" s="434"/>
      <c r="AJ183" s="434"/>
      <c r="AK183" s="434"/>
      <c r="AL183" s="10"/>
      <c r="AM183" s="10"/>
      <c r="AN183" s="10"/>
      <c r="AO183" s="10"/>
      <c r="AP183" s="10"/>
      <c r="AQ183" s="33"/>
    </row>
    <row r="184" spans="1:43">
      <c r="V184" s="87"/>
      <c r="W184" s="10"/>
      <c r="X184" s="441"/>
      <c r="Y184" s="10"/>
      <c r="Z184" s="434"/>
      <c r="AA184" s="434"/>
      <c r="AB184" s="434"/>
      <c r="AC184" s="434"/>
      <c r="AD184" s="434"/>
      <c r="AE184" s="434"/>
      <c r="AF184" s="434"/>
      <c r="AG184" s="434"/>
      <c r="AH184" s="434"/>
      <c r="AI184" s="434"/>
      <c r="AJ184" s="434"/>
      <c r="AK184" s="434"/>
      <c r="AL184" s="10"/>
      <c r="AM184" s="10"/>
      <c r="AN184" s="10"/>
      <c r="AO184" s="10"/>
      <c r="AP184" s="10"/>
    </row>
    <row r="185" spans="1:43">
      <c r="V185" s="87"/>
      <c r="W185" s="10"/>
      <c r="X185" s="441"/>
      <c r="Y185" s="10"/>
      <c r="Z185" s="434"/>
      <c r="AA185" s="434"/>
      <c r="AB185" s="434"/>
      <c r="AC185" s="434"/>
      <c r="AD185" s="434"/>
      <c r="AE185" s="434"/>
      <c r="AF185" s="434"/>
      <c r="AG185" s="434"/>
      <c r="AH185" s="434"/>
      <c r="AI185" s="434"/>
      <c r="AJ185" s="434"/>
      <c r="AK185" s="434"/>
      <c r="AL185" s="10"/>
      <c r="AM185" s="10"/>
      <c r="AN185" s="10"/>
      <c r="AO185" s="10"/>
      <c r="AP185" s="10"/>
      <c r="AQ185" s="33"/>
    </row>
    <row r="186" spans="1:43">
      <c r="V186" s="87"/>
      <c r="X186" s="442"/>
      <c r="Z186" s="89"/>
      <c r="AA186" s="89"/>
      <c r="AB186" s="89"/>
      <c r="AC186" s="89"/>
      <c r="AD186" s="89"/>
      <c r="AE186" s="89"/>
      <c r="AF186" s="89"/>
      <c r="AG186" s="89"/>
      <c r="AH186" s="89"/>
      <c r="AI186" s="89"/>
      <c r="AJ186" s="89"/>
      <c r="AK186" s="89"/>
      <c r="AL186" s="33"/>
      <c r="AM186" s="33"/>
      <c r="AN186" s="33"/>
      <c r="AO186" s="33"/>
      <c r="AP186" s="33"/>
      <c r="AQ186" s="33"/>
    </row>
    <row r="187" spans="1:43">
      <c r="V187" s="87"/>
      <c r="W187" s="10"/>
      <c r="X187" s="439"/>
      <c r="Y187" s="10"/>
      <c r="Z187" s="434"/>
      <c r="AA187" s="434"/>
      <c r="AB187" s="434"/>
      <c r="AC187" s="434"/>
      <c r="AD187" s="434"/>
      <c r="AE187" s="434"/>
      <c r="AF187" s="434"/>
      <c r="AG187" s="434"/>
      <c r="AH187" s="434"/>
      <c r="AI187" s="434"/>
      <c r="AJ187" s="434"/>
      <c r="AK187" s="434"/>
      <c r="AL187" s="10"/>
      <c r="AM187" s="10"/>
      <c r="AN187" s="10"/>
      <c r="AO187" s="10"/>
      <c r="AP187" s="10"/>
      <c r="AQ187" s="33"/>
    </row>
    <row r="188" spans="1:43">
      <c r="V188" s="87"/>
      <c r="W188" s="10"/>
      <c r="X188" s="441"/>
      <c r="Y188" s="10"/>
      <c r="Z188" s="434"/>
      <c r="AA188" s="434"/>
      <c r="AB188" s="434"/>
      <c r="AC188" s="434"/>
      <c r="AD188" s="434"/>
      <c r="AE188" s="434"/>
      <c r="AF188" s="434"/>
      <c r="AG188" s="434"/>
      <c r="AH188" s="434"/>
      <c r="AI188" s="434"/>
      <c r="AJ188" s="434"/>
      <c r="AK188" s="434"/>
      <c r="AL188" s="10"/>
      <c r="AM188" s="10"/>
      <c r="AN188" s="10"/>
      <c r="AO188" s="10"/>
      <c r="AP188" s="10"/>
      <c r="AQ188" s="33"/>
    </row>
    <row r="189" spans="1:43">
      <c r="V189" s="87"/>
      <c r="W189" s="10"/>
      <c r="X189" s="441"/>
      <c r="Y189" s="10"/>
      <c r="Z189" s="434"/>
      <c r="AA189" s="434"/>
      <c r="AB189" s="434"/>
      <c r="AC189" s="434"/>
      <c r="AD189" s="434"/>
      <c r="AE189" s="434"/>
      <c r="AF189" s="434"/>
      <c r="AG189" s="434"/>
      <c r="AH189" s="434"/>
      <c r="AI189" s="434"/>
      <c r="AJ189" s="434"/>
      <c r="AK189" s="434"/>
      <c r="AL189" s="10"/>
      <c r="AM189" s="10"/>
      <c r="AN189" s="10"/>
      <c r="AO189" s="10"/>
      <c r="AP189" s="10"/>
      <c r="AQ189" s="33"/>
    </row>
    <row r="190" spans="1:43">
      <c r="V190" s="87"/>
      <c r="X190" s="442"/>
      <c r="Z190" s="89"/>
      <c r="AA190" s="89"/>
      <c r="AB190" s="89"/>
      <c r="AC190" s="89"/>
      <c r="AD190" s="89"/>
      <c r="AE190" s="89"/>
      <c r="AF190" s="89"/>
      <c r="AG190" s="89"/>
      <c r="AH190" s="89"/>
      <c r="AI190" s="89"/>
      <c r="AJ190" s="89"/>
      <c r="AK190" s="89"/>
      <c r="AL190" s="33"/>
      <c r="AM190" s="33"/>
      <c r="AN190" s="33"/>
      <c r="AO190" s="33"/>
      <c r="AP190" s="33"/>
      <c r="AQ190" s="33"/>
    </row>
    <row r="191" spans="1:43">
      <c r="V191" s="87"/>
      <c r="W191" s="10"/>
      <c r="X191" s="439"/>
      <c r="Y191" s="10"/>
      <c r="Z191" s="434"/>
      <c r="AA191" s="434"/>
      <c r="AB191" s="434"/>
      <c r="AC191" s="434"/>
      <c r="AD191" s="434"/>
      <c r="AE191" s="434"/>
      <c r="AF191" s="434"/>
      <c r="AG191" s="434"/>
      <c r="AH191" s="434"/>
      <c r="AI191" s="434"/>
      <c r="AJ191" s="434"/>
      <c r="AK191" s="434"/>
      <c r="AL191" s="10"/>
      <c r="AM191" s="10"/>
      <c r="AN191" s="10"/>
      <c r="AO191" s="10"/>
      <c r="AP191" s="10"/>
      <c r="AQ191" s="33"/>
    </row>
    <row r="192" spans="1:43">
      <c r="V192" s="87"/>
      <c r="W192" s="10"/>
      <c r="X192" s="441"/>
      <c r="Y192" s="10"/>
      <c r="Z192" s="434"/>
      <c r="AA192" s="434"/>
      <c r="AB192" s="434"/>
      <c r="AC192" s="434"/>
      <c r="AD192" s="434"/>
      <c r="AE192" s="434"/>
      <c r="AF192" s="434"/>
      <c r="AG192" s="434"/>
      <c r="AH192" s="434"/>
      <c r="AI192" s="434"/>
      <c r="AJ192" s="434"/>
      <c r="AK192" s="434"/>
      <c r="AL192" s="10"/>
      <c r="AM192" s="10"/>
      <c r="AN192" s="10"/>
      <c r="AO192" s="10"/>
      <c r="AP192" s="10"/>
      <c r="AQ192" s="33"/>
    </row>
    <row r="193" spans="22:43">
      <c r="V193" s="87"/>
      <c r="W193" s="10"/>
      <c r="X193" s="441"/>
      <c r="Y193" s="10"/>
      <c r="Z193" s="434"/>
      <c r="AA193" s="434"/>
      <c r="AB193" s="434"/>
      <c r="AC193" s="434"/>
      <c r="AD193" s="434"/>
      <c r="AE193" s="434"/>
      <c r="AF193" s="434"/>
      <c r="AG193" s="434"/>
      <c r="AH193" s="434"/>
      <c r="AI193" s="434"/>
      <c r="AJ193" s="434"/>
      <c r="AK193" s="434"/>
      <c r="AL193" s="10"/>
      <c r="AM193" s="10"/>
      <c r="AN193" s="10"/>
      <c r="AO193" s="10"/>
      <c r="AP193" s="10"/>
      <c r="AQ193" s="33"/>
    </row>
    <row r="194" spans="22:43">
      <c r="V194" s="87"/>
      <c r="X194" s="442"/>
      <c r="Z194" s="89"/>
      <c r="AA194" s="89"/>
      <c r="AB194" s="89"/>
      <c r="AC194" s="89"/>
      <c r="AD194" s="89"/>
      <c r="AE194" s="89"/>
      <c r="AF194" s="89"/>
      <c r="AG194" s="89"/>
      <c r="AH194" s="89"/>
      <c r="AI194" s="89"/>
      <c r="AJ194" s="89"/>
      <c r="AK194" s="89"/>
      <c r="AL194" s="33"/>
      <c r="AM194" s="33"/>
      <c r="AN194" s="33"/>
      <c r="AO194" s="33"/>
      <c r="AP194" s="33"/>
      <c r="AQ194" s="33"/>
    </row>
    <row r="195" spans="22:43">
      <c r="V195" s="87"/>
      <c r="W195" s="10"/>
      <c r="X195" s="439"/>
      <c r="Y195" s="10"/>
      <c r="Z195" s="434"/>
      <c r="AA195" s="434"/>
      <c r="AB195" s="434"/>
      <c r="AC195" s="434"/>
      <c r="AD195" s="434"/>
      <c r="AE195" s="434"/>
      <c r="AF195" s="434"/>
      <c r="AG195" s="434"/>
      <c r="AH195" s="434"/>
      <c r="AI195" s="434"/>
      <c r="AJ195" s="434"/>
      <c r="AK195" s="434"/>
      <c r="AL195" s="10"/>
      <c r="AM195" s="10"/>
      <c r="AN195" s="10"/>
      <c r="AO195" s="10"/>
      <c r="AP195" s="10"/>
      <c r="AQ195" s="33"/>
    </row>
    <row r="196" spans="22:43">
      <c r="V196" s="87"/>
      <c r="W196" s="10"/>
      <c r="X196" s="441"/>
      <c r="Y196" s="10"/>
      <c r="Z196" s="434"/>
      <c r="AA196" s="434"/>
      <c r="AB196" s="434"/>
      <c r="AC196" s="434"/>
      <c r="AD196" s="434"/>
      <c r="AE196" s="434"/>
      <c r="AF196" s="434"/>
      <c r="AG196" s="434"/>
      <c r="AH196" s="434"/>
      <c r="AI196" s="434"/>
      <c r="AJ196" s="434"/>
      <c r="AK196" s="434"/>
      <c r="AL196" s="10"/>
      <c r="AM196" s="10"/>
      <c r="AN196" s="10"/>
      <c r="AO196" s="10"/>
      <c r="AP196" s="10"/>
      <c r="AQ196" s="33"/>
    </row>
    <row r="197" spans="22:43">
      <c r="V197" s="87"/>
      <c r="W197" s="10"/>
      <c r="X197" s="441"/>
      <c r="Y197" s="10"/>
      <c r="Z197" s="434"/>
      <c r="AA197" s="434"/>
      <c r="AB197" s="434"/>
      <c r="AC197" s="434"/>
      <c r="AD197" s="434"/>
      <c r="AE197" s="434"/>
      <c r="AF197" s="434"/>
      <c r="AG197" s="434"/>
      <c r="AH197" s="434"/>
      <c r="AI197" s="434"/>
      <c r="AJ197" s="434"/>
      <c r="AK197" s="434"/>
      <c r="AL197" s="10"/>
      <c r="AM197" s="10"/>
      <c r="AN197" s="10"/>
      <c r="AO197" s="10"/>
      <c r="AP197" s="10"/>
      <c r="AQ197" s="33"/>
    </row>
    <row r="198" spans="22:43">
      <c r="V198" s="87"/>
      <c r="X198" s="442"/>
      <c r="Z198" s="89"/>
      <c r="AA198" s="89"/>
      <c r="AB198" s="89"/>
      <c r="AC198" s="89"/>
      <c r="AD198" s="89"/>
      <c r="AE198" s="89"/>
      <c r="AF198" s="89"/>
      <c r="AG198" s="89"/>
      <c r="AH198" s="89"/>
      <c r="AI198" s="89"/>
      <c r="AJ198" s="89"/>
      <c r="AK198" s="89"/>
      <c r="AL198" s="33"/>
      <c r="AM198" s="33"/>
      <c r="AN198" s="33"/>
      <c r="AO198" s="33"/>
      <c r="AP198" s="33"/>
      <c r="AQ198" s="33"/>
    </row>
    <row r="199" spans="22:43">
      <c r="V199" s="87"/>
      <c r="W199" s="10"/>
      <c r="X199" s="439"/>
      <c r="Y199" s="10"/>
      <c r="Z199" s="434"/>
      <c r="AA199" s="434"/>
      <c r="AB199" s="434"/>
      <c r="AC199" s="434"/>
      <c r="AD199" s="434"/>
      <c r="AE199" s="434"/>
      <c r="AF199" s="434"/>
      <c r="AG199" s="434"/>
      <c r="AH199" s="434"/>
      <c r="AI199" s="434"/>
      <c r="AJ199" s="434"/>
      <c r="AK199" s="434"/>
      <c r="AL199" s="10"/>
      <c r="AM199" s="10"/>
      <c r="AN199" s="10"/>
      <c r="AO199" s="10"/>
      <c r="AP199" s="10"/>
      <c r="AQ199" s="33"/>
    </row>
    <row r="200" spans="22:43">
      <c r="V200" s="87"/>
      <c r="W200" s="10"/>
      <c r="X200" s="441"/>
      <c r="Y200" s="10"/>
      <c r="Z200" s="434"/>
      <c r="AA200" s="434"/>
      <c r="AB200" s="434"/>
      <c r="AC200" s="434"/>
      <c r="AD200" s="434"/>
      <c r="AE200" s="434"/>
      <c r="AF200" s="434"/>
      <c r="AG200" s="434"/>
      <c r="AH200" s="434"/>
      <c r="AI200" s="434"/>
      <c r="AJ200" s="434"/>
      <c r="AK200" s="434"/>
      <c r="AL200" s="10"/>
      <c r="AM200" s="10"/>
      <c r="AN200" s="10"/>
      <c r="AO200" s="10"/>
      <c r="AP200" s="10"/>
    </row>
    <row r="201" spans="22:43">
      <c r="V201" s="87"/>
      <c r="W201" s="10"/>
      <c r="X201" s="441"/>
      <c r="Y201" s="10"/>
      <c r="Z201" s="434"/>
      <c r="AA201" s="434"/>
      <c r="AB201" s="434"/>
      <c r="AC201" s="434"/>
      <c r="AD201" s="434"/>
      <c r="AE201" s="434"/>
      <c r="AF201" s="434"/>
      <c r="AG201" s="434"/>
      <c r="AH201" s="434"/>
      <c r="AI201" s="434"/>
      <c r="AJ201" s="434"/>
      <c r="AK201" s="434"/>
      <c r="AL201" s="10"/>
      <c r="AM201" s="10"/>
      <c r="AN201" s="10"/>
      <c r="AO201" s="10"/>
      <c r="AP201" s="10"/>
    </row>
    <row r="202" spans="22:43">
      <c r="V202" s="87"/>
      <c r="X202" s="442"/>
      <c r="Z202" s="89"/>
      <c r="AA202" s="89"/>
      <c r="AB202" s="89"/>
      <c r="AC202" s="89"/>
      <c r="AD202" s="89"/>
      <c r="AE202" s="89"/>
      <c r="AF202" s="89"/>
      <c r="AG202" s="89"/>
      <c r="AH202" s="89"/>
      <c r="AI202" s="89"/>
      <c r="AJ202" s="89"/>
      <c r="AK202" s="89"/>
      <c r="AL202" s="33"/>
      <c r="AM202" s="33"/>
      <c r="AN202" s="33"/>
      <c r="AO202" s="33"/>
      <c r="AP202" s="33"/>
    </row>
    <row r="203" spans="22:43">
      <c r="V203" s="87"/>
      <c r="W203" s="10"/>
      <c r="X203" s="439"/>
      <c r="Y203" s="10"/>
      <c r="Z203" s="434"/>
      <c r="AA203" s="434"/>
      <c r="AB203" s="434"/>
      <c r="AC203" s="434"/>
      <c r="AD203" s="434"/>
      <c r="AE203" s="434"/>
      <c r="AF203" s="434"/>
      <c r="AG203" s="434"/>
      <c r="AH203" s="434"/>
      <c r="AI203" s="434"/>
      <c r="AJ203" s="434"/>
      <c r="AK203" s="434"/>
      <c r="AL203" s="10"/>
      <c r="AM203" s="10"/>
      <c r="AN203" s="10"/>
      <c r="AO203" s="10"/>
      <c r="AP203" s="10"/>
    </row>
    <row r="204" spans="22:43">
      <c r="V204" s="87"/>
      <c r="W204" s="10"/>
      <c r="X204" s="441"/>
      <c r="Y204" s="10"/>
      <c r="Z204" s="434"/>
      <c r="AA204" s="434"/>
      <c r="AB204" s="434"/>
      <c r="AC204" s="434"/>
      <c r="AD204" s="434"/>
      <c r="AE204" s="434"/>
      <c r="AF204" s="434"/>
      <c r="AG204" s="434"/>
      <c r="AH204" s="434"/>
      <c r="AI204" s="434"/>
      <c r="AJ204" s="434"/>
      <c r="AK204" s="434"/>
      <c r="AL204" s="10"/>
      <c r="AM204" s="10"/>
      <c r="AN204" s="10"/>
      <c r="AO204" s="10"/>
      <c r="AP204" s="10"/>
    </row>
    <row r="205" spans="22:43">
      <c r="V205" s="87"/>
      <c r="W205" s="10"/>
      <c r="X205" s="441"/>
      <c r="Y205" s="10"/>
      <c r="Z205" s="434"/>
      <c r="AA205" s="434"/>
      <c r="AB205" s="434"/>
      <c r="AC205" s="434"/>
      <c r="AD205" s="434"/>
      <c r="AE205" s="434"/>
      <c r="AF205" s="434"/>
      <c r="AG205" s="434"/>
      <c r="AH205" s="434"/>
      <c r="AI205" s="434"/>
      <c r="AJ205" s="434"/>
      <c r="AK205" s="434"/>
      <c r="AL205" s="10"/>
      <c r="AM205" s="10"/>
      <c r="AN205" s="10"/>
      <c r="AO205" s="10"/>
      <c r="AP205" s="10"/>
    </row>
    <row r="206" spans="22:43">
      <c r="V206" s="87"/>
      <c r="X206" s="442"/>
      <c r="Z206" s="89"/>
      <c r="AA206" s="89"/>
      <c r="AB206" s="89"/>
      <c r="AC206" s="89"/>
      <c r="AD206" s="89"/>
      <c r="AE206" s="89"/>
      <c r="AF206" s="89"/>
      <c r="AG206" s="89"/>
      <c r="AH206" s="89"/>
      <c r="AI206" s="89"/>
      <c r="AJ206" s="89"/>
      <c r="AK206" s="89"/>
      <c r="AL206" s="33"/>
      <c r="AM206" s="33"/>
      <c r="AN206" s="33"/>
      <c r="AO206" s="33"/>
      <c r="AP206" s="33"/>
    </row>
    <row r="207" spans="22:43">
      <c r="V207" s="87"/>
      <c r="W207" s="10"/>
      <c r="X207" s="439"/>
      <c r="Y207" s="10"/>
      <c r="Z207" s="434"/>
      <c r="AA207" s="434"/>
      <c r="AB207" s="434"/>
      <c r="AC207" s="434"/>
      <c r="AD207" s="434"/>
      <c r="AE207" s="434"/>
      <c r="AF207" s="434"/>
      <c r="AG207" s="434"/>
      <c r="AH207" s="434"/>
      <c r="AI207" s="434"/>
      <c r="AJ207" s="434"/>
      <c r="AK207" s="434"/>
      <c r="AL207" s="10"/>
      <c r="AM207" s="10"/>
      <c r="AN207" s="10"/>
      <c r="AO207" s="10"/>
      <c r="AP207" s="10"/>
    </row>
    <row r="208" spans="22:43">
      <c r="V208" s="87"/>
      <c r="W208" s="10"/>
      <c r="X208" s="441"/>
      <c r="Y208" s="10"/>
      <c r="Z208" s="434"/>
      <c r="AA208" s="434"/>
      <c r="AB208" s="434"/>
      <c r="AC208" s="434"/>
      <c r="AD208" s="434"/>
      <c r="AE208" s="434"/>
      <c r="AF208" s="434"/>
      <c r="AG208" s="434"/>
      <c r="AH208" s="434"/>
      <c r="AI208" s="434"/>
      <c r="AJ208" s="434"/>
      <c r="AK208" s="434"/>
      <c r="AL208" s="10"/>
      <c r="AM208" s="10"/>
      <c r="AN208" s="10"/>
      <c r="AO208" s="10"/>
      <c r="AP208" s="10"/>
    </row>
    <row r="209" spans="22:42">
      <c r="V209" s="87"/>
      <c r="W209" s="10"/>
      <c r="X209" s="441"/>
      <c r="Y209" s="10"/>
      <c r="Z209" s="434"/>
      <c r="AA209" s="434"/>
      <c r="AB209" s="434"/>
      <c r="AC209" s="434"/>
      <c r="AD209" s="434"/>
      <c r="AE209" s="434"/>
      <c r="AF209" s="434"/>
      <c r="AG209" s="434"/>
      <c r="AH209" s="434"/>
      <c r="AI209" s="434"/>
      <c r="AJ209" s="434"/>
      <c r="AK209" s="434"/>
      <c r="AL209" s="10"/>
      <c r="AM209" s="10"/>
      <c r="AN209" s="10"/>
      <c r="AO209" s="10"/>
      <c r="AP209" s="10"/>
    </row>
    <row r="210" spans="22:42">
      <c r="Y210" s="33"/>
      <c r="Z210" s="33"/>
      <c r="AA210" s="33"/>
      <c r="AB210" s="33"/>
      <c r="AC210" s="33"/>
      <c r="AD210" s="33"/>
      <c r="AE210" s="33"/>
      <c r="AF210" s="33"/>
      <c r="AG210" s="33"/>
      <c r="AH210" s="33"/>
      <c r="AI210" s="33"/>
      <c r="AJ210" s="33"/>
      <c r="AK210" s="33"/>
    </row>
    <row r="211" spans="22:42">
      <c r="Y211" s="33"/>
      <c r="Z211" s="33"/>
      <c r="AA211" s="33"/>
      <c r="AB211" s="33"/>
      <c r="AC211" s="33"/>
      <c r="AD211" s="33"/>
      <c r="AE211" s="33"/>
      <c r="AF211" s="33"/>
      <c r="AG211" s="33"/>
      <c r="AH211" s="33"/>
      <c r="AI211" s="33"/>
      <c r="AJ211" s="33"/>
      <c r="AK211" s="33"/>
    </row>
    <row r="212" spans="22:42">
      <c r="Y212" s="33"/>
      <c r="Z212" s="33"/>
      <c r="AA212" s="33"/>
      <c r="AB212" s="33"/>
      <c r="AC212" s="33"/>
      <c r="AD212" s="33"/>
      <c r="AE212" s="33"/>
      <c r="AF212" s="33"/>
      <c r="AG212" s="33"/>
      <c r="AH212" s="33"/>
      <c r="AI212" s="33"/>
      <c r="AJ212" s="33"/>
      <c r="AK212" s="33"/>
    </row>
    <row r="213" spans="22:42">
      <c r="Y213" s="33"/>
      <c r="Z213" s="33"/>
      <c r="AA213" s="33"/>
      <c r="AB213" s="33"/>
      <c r="AC213" s="33"/>
      <c r="AD213" s="33"/>
      <c r="AE213" s="33"/>
      <c r="AF213" s="33"/>
      <c r="AG213" s="33"/>
      <c r="AH213" s="33"/>
      <c r="AI213" s="33"/>
      <c r="AJ213" s="33"/>
      <c r="AK213" s="33"/>
    </row>
    <row r="214" spans="22:42">
      <c r="Y214" s="33"/>
      <c r="Z214" s="33"/>
      <c r="AA214" s="33"/>
      <c r="AB214" s="33"/>
      <c r="AC214" s="33"/>
      <c r="AD214" s="33"/>
      <c r="AE214" s="33"/>
      <c r="AF214" s="33"/>
      <c r="AG214" s="33"/>
      <c r="AH214" s="33"/>
      <c r="AI214" s="33"/>
      <c r="AJ214" s="33"/>
      <c r="AK214" s="33"/>
    </row>
    <row r="215" spans="22:42">
      <c r="Y215" s="33"/>
      <c r="Z215" s="33"/>
      <c r="AA215" s="33"/>
      <c r="AB215" s="33"/>
      <c r="AC215" s="33"/>
      <c r="AD215" s="33"/>
      <c r="AE215" s="33"/>
      <c r="AF215" s="33"/>
      <c r="AG215" s="33"/>
      <c r="AH215" s="33"/>
      <c r="AI215" s="33"/>
      <c r="AJ215" s="33"/>
      <c r="AK215" s="33"/>
    </row>
    <row r="216" spans="22:42">
      <c r="Y216" s="33"/>
      <c r="Z216" s="33"/>
      <c r="AA216" s="33"/>
      <c r="AB216" s="33"/>
      <c r="AC216" s="33"/>
      <c r="AD216" s="33"/>
      <c r="AE216" s="33"/>
      <c r="AF216" s="33"/>
      <c r="AG216" s="33"/>
      <c r="AH216" s="33"/>
      <c r="AI216" s="33"/>
      <c r="AJ216" s="33"/>
      <c r="AK216" s="33"/>
    </row>
    <row r="217" spans="22:42">
      <c r="Y217" s="33"/>
      <c r="Z217" s="33"/>
      <c r="AA217" s="33"/>
      <c r="AB217" s="33"/>
      <c r="AC217" s="33"/>
      <c r="AD217" s="33"/>
      <c r="AE217" s="33"/>
      <c r="AF217" s="33"/>
      <c r="AG217" s="33"/>
      <c r="AH217" s="33"/>
      <c r="AI217" s="33"/>
      <c r="AJ217" s="33"/>
      <c r="AK217" s="33"/>
    </row>
    <row r="218" spans="22:42">
      <c r="Y218" s="33"/>
      <c r="Z218" s="33"/>
      <c r="AA218" s="33"/>
      <c r="AB218" s="33"/>
      <c r="AC218" s="33"/>
      <c r="AD218" s="33"/>
      <c r="AE218" s="33"/>
      <c r="AF218" s="33"/>
      <c r="AG218" s="33"/>
      <c r="AH218" s="33"/>
      <c r="AI218" s="33"/>
      <c r="AJ218" s="33"/>
      <c r="AK218" s="33"/>
    </row>
    <row r="219" spans="22:42">
      <c r="Y219" s="33"/>
      <c r="Z219" s="33"/>
      <c r="AA219" s="33"/>
      <c r="AB219" s="33"/>
      <c r="AC219" s="33"/>
      <c r="AD219" s="33"/>
      <c r="AE219" s="33"/>
      <c r="AF219" s="33"/>
      <c r="AG219" s="33"/>
      <c r="AH219" s="33"/>
      <c r="AI219" s="33"/>
      <c r="AJ219" s="33"/>
      <c r="AK219" s="33"/>
    </row>
    <row r="220" spans="22:42">
      <c r="Y220" s="33"/>
    </row>
    <row r="221" spans="22:42">
      <c r="Y221" s="33"/>
    </row>
    <row r="222" spans="22:42">
      <c r="Y222" s="33"/>
    </row>
    <row r="223" spans="22:42">
      <c r="Y223" s="33"/>
    </row>
    <row r="224" spans="22:42">
      <c r="Y224" s="33"/>
    </row>
    <row r="225" spans="25:25">
      <c r="Y225" s="33"/>
    </row>
  </sheetData>
  <mergeCells count="1">
    <mergeCell ref="AE1:AF1"/>
  </mergeCells>
  <hyperlinks>
    <hyperlink ref="AE1" location="'Cumplimiento de la regla'!A1" display="Cumplimiento de la regla" xr:uid="{90D4C061-40E1-F940-8B51-A356FC183F31}"/>
    <hyperlink ref="AA1" location="Introducción!A1" display="Introducción" xr:uid="{90D0C9FD-0F2A-C147-8E05-D887072B80BA}"/>
    <hyperlink ref="AD1" location="Gráficos!A1" display="Gráficos" xr:uid="{8AE2F451-B176-8E46-8780-8CFD847F22FF}"/>
    <hyperlink ref="AC1" location="SALIDA!A1" display="SALIDA" xr:uid="{9A62098C-218A-FA48-B52C-E28DC0487219}"/>
    <hyperlink ref="AB1" location="Supuestos!A1" display="Supuestos" xr:uid="{EF6D93CA-0689-0F4D-98E6-AC27F06D1654}"/>
  </hyperlink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3E6F3-7221-984C-87D4-CF2F3EF567EE}">
  <sheetPr>
    <tabColor theme="9"/>
  </sheetPr>
  <dimension ref="A1:AW47"/>
  <sheetViews>
    <sheetView zoomScale="85" zoomScaleNormal="85" workbookViewId="0">
      <selection activeCell="B9" sqref="B9"/>
    </sheetView>
  </sheetViews>
  <sheetFormatPr baseColWidth="10" defaultColWidth="10.83203125" defaultRowHeight="15"/>
  <cols>
    <col min="1" max="1" width="30.5" style="5" customWidth="1"/>
    <col min="2" max="4" width="7.6640625" style="5" customWidth="1"/>
    <col min="5" max="6" width="8.6640625" style="5" customWidth="1"/>
    <col min="7" max="7" width="7.6640625" style="5" customWidth="1"/>
    <col min="8" max="8" width="8.33203125" style="5" customWidth="1"/>
    <col min="9" max="9" width="7.6640625" style="5" customWidth="1"/>
    <col min="10" max="10" width="7.6640625" style="130" customWidth="1"/>
    <col min="11" max="37" width="6.33203125" style="5" customWidth="1"/>
    <col min="38" max="16384" width="10.83203125" style="5"/>
  </cols>
  <sheetData>
    <row r="1" spans="1:49" ht="28">
      <c r="A1" s="533" t="s">
        <v>318</v>
      </c>
      <c r="D1" s="510" t="s">
        <v>319</v>
      </c>
      <c r="E1" s="670" t="s">
        <v>315</v>
      </c>
      <c r="F1" s="543" t="s">
        <v>285</v>
      </c>
      <c r="G1" s="543" t="s">
        <v>317</v>
      </c>
      <c r="H1" s="543" t="s">
        <v>318</v>
      </c>
      <c r="I1" s="754" t="s">
        <v>320</v>
      </c>
      <c r="J1" s="754"/>
    </row>
    <row r="3" spans="1:49">
      <c r="A3" s="517" t="s">
        <v>372</v>
      </c>
      <c r="B3" s="517"/>
      <c r="C3" s="517"/>
      <c r="D3" s="517"/>
      <c r="E3" s="517"/>
      <c r="F3" s="517"/>
      <c r="G3" s="517"/>
      <c r="H3" s="517"/>
      <c r="I3" s="517"/>
      <c r="J3" s="517"/>
      <c r="K3" s="517"/>
      <c r="L3" s="517"/>
      <c r="M3" s="517"/>
      <c r="N3" s="517"/>
      <c r="O3" s="517"/>
      <c r="P3" s="517"/>
      <c r="Q3" s="517"/>
    </row>
    <row r="4" spans="1:49">
      <c r="Z4" s="755" t="s">
        <v>369</v>
      </c>
      <c r="AA4" s="755"/>
      <c r="AB4" s="755"/>
      <c r="AC4" s="755"/>
      <c r="AD4" s="755"/>
      <c r="AE4" s="755"/>
      <c r="AF4" s="755"/>
      <c r="AG4" s="755"/>
      <c r="AH4" s="755"/>
      <c r="AI4" s="755"/>
      <c r="AJ4" s="755"/>
      <c r="AK4" s="755"/>
    </row>
    <row r="5" spans="1:49">
      <c r="A5" s="372" t="s">
        <v>46</v>
      </c>
      <c r="B5" s="648">
        <v>1999</v>
      </c>
      <c r="C5" s="648">
        <v>2000</v>
      </c>
      <c r="D5" s="648">
        <v>2001</v>
      </c>
      <c r="E5" s="648">
        <v>2002</v>
      </c>
      <c r="F5" s="648">
        <v>2003</v>
      </c>
      <c r="G5" s="648">
        <v>2004</v>
      </c>
      <c r="H5" s="648">
        <v>2005</v>
      </c>
      <c r="I5" s="648">
        <v>2006</v>
      </c>
      <c r="J5" s="648">
        <v>2007</v>
      </c>
      <c r="K5" s="648">
        <v>2008</v>
      </c>
      <c r="L5" s="648">
        <v>2009</v>
      </c>
      <c r="M5" s="648">
        <v>2010</v>
      </c>
      <c r="N5" s="648">
        <v>2011</v>
      </c>
      <c r="O5" s="648">
        <v>2012</v>
      </c>
      <c r="P5" s="648">
        <v>2013</v>
      </c>
      <c r="Q5" s="648">
        <v>2014</v>
      </c>
      <c r="R5" s="648">
        <v>2015</v>
      </c>
      <c r="S5" s="648">
        <v>2016</v>
      </c>
      <c r="T5" s="648">
        <v>2017</v>
      </c>
      <c r="U5" s="648">
        <v>2018</v>
      </c>
      <c r="V5" s="648">
        <v>2019</v>
      </c>
      <c r="W5" s="648">
        <v>2020</v>
      </c>
      <c r="X5" s="648">
        <v>2021</v>
      </c>
      <c r="Y5" s="648">
        <v>2022</v>
      </c>
      <c r="Z5" s="648">
        <v>2023</v>
      </c>
      <c r="AA5" s="648">
        <v>2024</v>
      </c>
      <c r="AB5" s="648">
        <v>2025</v>
      </c>
      <c r="AC5" s="648">
        <v>2026</v>
      </c>
      <c r="AD5" s="648">
        <v>2027</v>
      </c>
      <c r="AE5" s="648">
        <v>2028</v>
      </c>
      <c r="AF5" s="648">
        <v>2029</v>
      </c>
      <c r="AG5" s="648">
        <v>2030</v>
      </c>
      <c r="AH5" s="648">
        <v>2031</v>
      </c>
      <c r="AI5" s="648">
        <v>2032</v>
      </c>
      <c r="AJ5" s="648">
        <v>2033</v>
      </c>
      <c r="AK5" s="652">
        <v>2034</v>
      </c>
    </row>
    <row r="6" spans="1:49" ht="16">
      <c r="A6" s="655" t="s">
        <v>368</v>
      </c>
      <c r="B6" s="649">
        <f>SALIDA!B50</f>
        <v>34.596667204996294</v>
      </c>
      <c r="C6" s="649">
        <f>SALIDA!C50</f>
        <v>37.184502896709567</v>
      </c>
      <c r="D6" s="649">
        <f>SALIDA!D50</f>
        <v>41.391682239963018</v>
      </c>
      <c r="E6" s="649">
        <f>SALIDA!E50</f>
        <v>47.204899410649674</v>
      </c>
      <c r="F6" s="649">
        <f>SALIDA!F50</f>
        <v>46.291026473957494</v>
      </c>
      <c r="G6" s="649">
        <f>SALIDA!G50</f>
        <v>43.233407576248752</v>
      </c>
      <c r="H6" s="649">
        <f>SALIDA!H50</f>
        <v>42.665575359016117</v>
      </c>
      <c r="I6" s="649">
        <f>SALIDA!I50</f>
        <v>40.27494881729308</v>
      </c>
      <c r="J6" s="649">
        <f>SALIDA!J50</f>
        <v>36.534443452495445</v>
      </c>
      <c r="K6" s="649">
        <f>SALIDA!K50</f>
        <v>36.058431391747007</v>
      </c>
      <c r="L6" s="649">
        <f>SALIDA!L50</f>
        <v>37.904102466773352</v>
      </c>
      <c r="M6" s="649">
        <f>SALIDA!M50</f>
        <v>38.437760277734426</v>
      </c>
      <c r="N6" s="649">
        <f>SALIDA!N50</f>
        <v>36.285007561086125</v>
      </c>
      <c r="O6" s="649">
        <f>SALIDA!O50</f>
        <v>34.198177423862738</v>
      </c>
      <c r="P6" s="649">
        <f>SALIDA!P50</f>
        <v>36.645538733435863</v>
      </c>
      <c r="Q6" s="649">
        <f>SALIDA!Q50</f>
        <v>39.899222986321661</v>
      </c>
      <c r="R6" s="649">
        <f>SALIDA!R50</f>
        <v>44.612536988629323</v>
      </c>
      <c r="S6" s="649">
        <f>SALIDA!S50</f>
        <v>45.627006873621077</v>
      </c>
      <c r="T6" s="649">
        <f>SALIDA!T50</f>
        <v>46.379638750023261</v>
      </c>
      <c r="U6" s="649">
        <f>SALIDA!U50</f>
        <v>49.329171793973863</v>
      </c>
      <c r="V6" s="649">
        <f>SALIDA!V50</f>
        <v>50.344255691714103</v>
      </c>
      <c r="W6" s="649">
        <f>SALIDA!W50</f>
        <v>65.082231736177391</v>
      </c>
      <c r="X6" s="649">
        <f>SALIDA!X50</f>
        <v>62.976712410788259</v>
      </c>
      <c r="Y6" s="649">
        <f>SALIDA!Y50</f>
        <v>61.139820003501065</v>
      </c>
      <c r="Z6" s="649" t="e">
        <f>SALIDA!Z50</f>
        <v>#DIV/0!</v>
      </c>
      <c r="AA6" s="649" t="e">
        <f>SALIDA!AA50</f>
        <v>#DIV/0!</v>
      </c>
      <c r="AB6" s="649" t="e">
        <f>SALIDA!AB50</f>
        <v>#DIV/0!</v>
      </c>
      <c r="AC6" s="649" t="e">
        <f>SALIDA!AC50</f>
        <v>#DIV/0!</v>
      </c>
      <c r="AD6" s="649" t="e">
        <f>SALIDA!AD50</f>
        <v>#DIV/0!</v>
      </c>
      <c r="AE6" s="649" t="e">
        <f>SALIDA!AE50</f>
        <v>#DIV/0!</v>
      </c>
      <c r="AF6" s="649" t="e">
        <f>SALIDA!AF50</f>
        <v>#DIV/0!</v>
      </c>
      <c r="AG6" s="649" t="e">
        <f>SALIDA!AG50</f>
        <v>#DIV/0!</v>
      </c>
      <c r="AH6" s="649" t="e">
        <f>SALIDA!AH50</f>
        <v>#DIV/0!</v>
      </c>
      <c r="AI6" s="649" t="e">
        <f>SALIDA!AI50</f>
        <v>#DIV/0!</v>
      </c>
      <c r="AJ6" s="649" t="e">
        <f>SALIDA!AJ50</f>
        <v>#DIV/0!</v>
      </c>
      <c r="AK6" s="650" t="e">
        <f>SALIDA!AK50</f>
        <v>#DIV/0!</v>
      </c>
    </row>
    <row r="7" spans="1:49">
      <c r="A7" s="357" t="s">
        <v>87</v>
      </c>
      <c r="B7" s="313">
        <f>SALIDA!B52</f>
        <v>19.657609630702591</v>
      </c>
      <c r="C7" s="313">
        <f>SALIDA!C52</f>
        <v>21.277495288830668</v>
      </c>
      <c r="D7" s="313">
        <f>SALIDA!D52</f>
        <v>22.336859449335233</v>
      </c>
      <c r="E7" s="313">
        <f>SALIDA!E52</f>
        <v>25.488764171187778</v>
      </c>
      <c r="F7" s="313">
        <f>SALIDA!F52</f>
        <v>25.104328593629848</v>
      </c>
      <c r="G7" s="313">
        <f>SALIDA!G52</f>
        <v>25.596244155425975</v>
      </c>
      <c r="H7" s="313">
        <f>SALIDA!H52</f>
        <v>28.573386435557683</v>
      </c>
      <c r="I7" s="313">
        <f>SALIDA!I52</f>
        <v>26.487619325564516</v>
      </c>
      <c r="J7" s="313">
        <f>SALIDA!J52</f>
        <v>25.413758486438194</v>
      </c>
      <c r="K7" s="313">
        <f>SALIDA!K52</f>
        <v>24.602634390130341</v>
      </c>
      <c r="L7" s="313">
        <f>SALIDA!L52</f>
        <v>26.002683710573432</v>
      </c>
      <c r="M7" s="313">
        <f>SALIDA!M52</f>
        <v>27.537114226768537</v>
      </c>
      <c r="N7" s="313">
        <f>SALIDA!N52</f>
        <v>25.949318622075523</v>
      </c>
      <c r="O7" s="313">
        <f>SALIDA!O52</f>
        <v>25.268162493900675</v>
      </c>
      <c r="P7" s="313">
        <f>SALIDA!P52</f>
        <v>27.022262265038993</v>
      </c>
      <c r="Q7" s="313">
        <f>SALIDA!Q52</f>
        <v>28.132690150156829</v>
      </c>
      <c r="R7" s="313">
        <f>SALIDA!R52</f>
        <v>28.508181084549399</v>
      </c>
      <c r="S7" s="313">
        <f>SALIDA!S52</f>
        <v>30.105754125899292</v>
      </c>
      <c r="T7" s="313">
        <f>SALIDA!T52</f>
        <v>30.892771217546304</v>
      </c>
      <c r="U7" s="313">
        <f>SALIDA!U52</f>
        <v>32.717323012491107</v>
      </c>
      <c r="V7" s="313">
        <f>SALIDA!V52</f>
        <v>34.354000937634289</v>
      </c>
      <c r="W7" s="313">
        <f>SALIDA!W52</f>
        <v>42.055645750691681</v>
      </c>
      <c r="X7" s="313">
        <f>SALIDA!X52</f>
        <v>38.457993569769222</v>
      </c>
      <c r="Y7" s="313">
        <f>SALIDA!Y52</f>
        <v>36.150783005191421</v>
      </c>
      <c r="Z7" s="123">
        <f>SALIDA!Z52</f>
        <v>31.608817064063881</v>
      </c>
      <c r="AA7" s="123" t="e">
        <f>SALIDA!AA52</f>
        <v>#DIV/0!</v>
      </c>
      <c r="AB7" s="123" t="e">
        <f>SALIDA!AB52</f>
        <v>#DIV/0!</v>
      </c>
      <c r="AC7" s="123" t="e">
        <f>SALIDA!AC52</f>
        <v>#DIV/0!</v>
      </c>
      <c r="AD7" s="123" t="e">
        <f>SALIDA!AD52</f>
        <v>#DIV/0!</v>
      </c>
      <c r="AE7" s="123" t="e">
        <f>SALIDA!AE52</f>
        <v>#DIV/0!</v>
      </c>
      <c r="AF7" s="123" t="e">
        <f>SALIDA!AF52</f>
        <v>#DIV/0!</v>
      </c>
      <c r="AG7" s="123" t="e">
        <f>SALIDA!AG52</f>
        <v>#DIV/0!</v>
      </c>
      <c r="AH7" s="123" t="e">
        <f>SALIDA!AH52</f>
        <v>#DIV/0!</v>
      </c>
      <c r="AI7" s="123" t="e">
        <f>SALIDA!AI52</f>
        <v>#DIV/0!</v>
      </c>
      <c r="AJ7" s="123" t="e">
        <f>SALIDA!AJ52</f>
        <v>#DIV/0!</v>
      </c>
      <c r="AK7" s="651" t="e">
        <f>SALIDA!AK52</f>
        <v>#DIV/0!</v>
      </c>
    </row>
    <row r="8" spans="1:49">
      <c r="A8" s="357" t="s">
        <v>43</v>
      </c>
      <c r="B8" s="313">
        <f>SALIDA!B54</f>
        <v>14.939057574293699</v>
      </c>
      <c r="C8" s="313">
        <f>SALIDA!C54</f>
        <v>15.907007607878901</v>
      </c>
      <c r="D8" s="313">
        <f>SALIDA!D54</f>
        <v>19.054822790627782</v>
      </c>
      <c r="E8" s="313">
        <f>SALIDA!E54</f>
        <v>21.716135239461895</v>
      </c>
      <c r="F8" s="313">
        <f>SALIDA!F54</f>
        <v>21.186697880327646</v>
      </c>
      <c r="G8" s="313">
        <f>SALIDA!G54</f>
        <v>17.63716342082278</v>
      </c>
      <c r="H8" s="313">
        <f>SALIDA!H54</f>
        <v>14.092188923458432</v>
      </c>
      <c r="I8" s="313">
        <f>SALIDA!I54</f>
        <v>13.787329491728565</v>
      </c>
      <c r="J8" s="313">
        <f>SALIDA!J54</f>
        <v>11.120684966057254</v>
      </c>
      <c r="K8" s="313">
        <f>SALIDA!K54</f>
        <v>11.455797001616668</v>
      </c>
      <c r="L8" s="313">
        <f>SALIDA!L54</f>
        <v>11.901418756199922</v>
      </c>
      <c r="M8" s="313">
        <f>SALIDA!M54</f>
        <v>10.900646050965882</v>
      </c>
      <c r="N8" s="313">
        <f>SALIDA!N54</f>
        <v>10.335688939010602</v>
      </c>
      <c r="O8" s="313">
        <f>SALIDA!O54</f>
        <v>8.9300149299620664</v>
      </c>
      <c r="P8" s="313">
        <f>SALIDA!P54</f>
        <v>9.6232764683968668</v>
      </c>
      <c r="Q8" s="313">
        <f>SALIDA!Q54</f>
        <v>11.766532836164822</v>
      </c>
      <c r="R8" s="313">
        <f>SALIDA!R54</f>
        <v>16.104355904079924</v>
      </c>
      <c r="S8" s="313">
        <f>SALIDA!S54</f>
        <v>15.521252747721784</v>
      </c>
      <c r="T8" s="313">
        <f>SALIDA!T54</f>
        <v>15.486867532476955</v>
      </c>
      <c r="U8" s="313">
        <f>SALIDA!U54</f>
        <v>16.611848781482756</v>
      </c>
      <c r="V8" s="313">
        <f>SALIDA!V54</f>
        <v>15.990254754079809</v>
      </c>
      <c r="W8" s="313">
        <f>SALIDA!W54</f>
        <v>23.026585985485692</v>
      </c>
      <c r="X8" s="313">
        <f>SALIDA!X54</f>
        <v>24.518718841019041</v>
      </c>
      <c r="Y8" s="313">
        <f>SALIDA!Y54</f>
        <v>24.989036998309643</v>
      </c>
      <c r="Z8" s="123" t="e">
        <f>SALIDA!Z54</f>
        <v>#DIV/0!</v>
      </c>
      <c r="AA8" s="123" t="e">
        <f>SALIDA!AA54</f>
        <v>#DIV/0!</v>
      </c>
      <c r="AB8" s="123" t="e">
        <f>SALIDA!AB54</f>
        <v>#DIV/0!</v>
      </c>
      <c r="AC8" s="123" t="e">
        <f>SALIDA!AC54</f>
        <v>#DIV/0!</v>
      </c>
      <c r="AD8" s="123" t="e">
        <f>SALIDA!AD54</f>
        <v>#DIV/0!</v>
      </c>
      <c r="AE8" s="123" t="e">
        <f>SALIDA!AE54</f>
        <v>#DIV/0!</v>
      </c>
      <c r="AF8" s="123" t="e">
        <f>SALIDA!AF54</f>
        <v>#DIV/0!</v>
      </c>
      <c r="AG8" s="123" t="e">
        <f>SALIDA!AG54</f>
        <v>#DIV/0!</v>
      </c>
      <c r="AH8" s="123" t="e">
        <f>SALIDA!AH54</f>
        <v>#DIV/0!</v>
      </c>
      <c r="AI8" s="123" t="e">
        <f>SALIDA!AI54</f>
        <v>#DIV/0!</v>
      </c>
      <c r="AJ8" s="123" t="e">
        <f>SALIDA!AJ54</f>
        <v>#DIV/0!</v>
      </c>
      <c r="AK8" s="651" t="e">
        <f>SALIDA!AK54</f>
        <v>#DIV/0!</v>
      </c>
    </row>
    <row r="9" spans="1:49" ht="15" customHeight="1">
      <c r="A9" s="656" t="s">
        <v>248</v>
      </c>
      <c r="B9" s="315">
        <f t="shared" ref="B9:Y9" si="0">B6</f>
        <v>34.596667204996294</v>
      </c>
      <c r="C9" s="315">
        <f t="shared" si="0"/>
        <v>37.184502896709567</v>
      </c>
      <c r="D9" s="315">
        <f t="shared" si="0"/>
        <v>41.391682239963018</v>
      </c>
      <c r="E9" s="315">
        <f t="shared" si="0"/>
        <v>47.204899410649674</v>
      </c>
      <c r="F9" s="315">
        <f t="shared" si="0"/>
        <v>46.291026473957494</v>
      </c>
      <c r="G9" s="315">
        <f t="shared" si="0"/>
        <v>43.233407576248752</v>
      </c>
      <c r="H9" s="315">
        <f t="shared" si="0"/>
        <v>42.665575359016117</v>
      </c>
      <c r="I9" s="315">
        <f t="shared" si="0"/>
        <v>40.27494881729308</v>
      </c>
      <c r="J9" s="669">
        <f t="shared" si="0"/>
        <v>36.534443452495445</v>
      </c>
      <c r="K9" s="315">
        <f t="shared" si="0"/>
        <v>36.058431391747007</v>
      </c>
      <c r="L9" s="315">
        <f t="shared" si="0"/>
        <v>37.904102466773352</v>
      </c>
      <c r="M9" s="315">
        <f t="shared" si="0"/>
        <v>38.437760277734426</v>
      </c>
      <c r="N9" s="315">
        <f t="shared" si="0"/>
        <v>36.285007561086125</v>
      </c>
      <c r="O9" s="315">
        <f t="shared" si="0"/>
        <v>34.198177423862738</v>
      </c>
      <c r="P9" s="315">
        <f t="shared" si="0"/>
        <v>36.645538733435863</v>
      </c>
      <c r="Q9" s="315">
        <f t="shared" si="0"/>
        <v>39.899222986321661</v>
      </c>
      <c r="R9" s="315">
        <f t="shared" si="0"/>
        <v>44.612536988629323</v>
      </c>
      <c r="S9" s="315">
        <f t="shared" si="0"/>
        <v>45.627006873621077</v>
      </c>
      <c r="T9" s="315">
        <f t="shared" si="0"/>
        <v>46.379638750023261</v>
      </c>
      <c r="U9" s="315">
        <f t="shared" si="0"/>
        <v>49.329171793973863</v>
      </c>
      <c r="V9" s="315">
        <f t="shared" si="0"/>
        <v>50.344255691714103</v>
      </c>
      <c r="W9" s="315">
        <f t="shared" si="0"/>
        <v>65.082231736177391</v>
      </c>
      <c r="X9" s="315">
        <f t="shared" si="0"/>
        <v>62.976712410788259</v>
      </c>
      <c r="Y9" s="315">
        <f t="shared" si="0"/>
        <v>61.139820003501065</v>
      </c>
      <c r="Z9" s="317">
        <v>59.479019730672768</v>
      </c>
      <c r="AA9" s="317">
        <v>59.708827966133086</v>
      </c>
      <c r="AB9" s="317">
        <v>59.59451776301281</v>
      </c>
      <c r="AC9" s="317">
        <v>59.464497342978319</v>
      </c>
      <c r="AD9" s="317">
        <v>59.250470879014081</v>
      </c>
      <c r="AE9" s="317">
        <v>59.083137610730027</v>
      </c>
      <c r="AF9" s="317">
        <v>58.808022052248077</v>
      </c>
      <c r="AG9" s="317">
        <v>58.474924489912375</v>
      </c>
      <c r="AH9" s="317">
        <v>58.211151997949408</v>
      </c>
      <c r="AI9" s="317">
        <v>58.034810222776244</v>
      </c>
      <c r="AJ9" s="317">
        <v>57.692730564874516</v>
      </c>
      <c r="AK9" s="318">
        <v>57.475245128208066</v>
      </c>
    </row>
    <row r="10" spans="1:49" ht="16">
      <c r="A10" s="655" t="s">
        <v>367</v>
      </c>
      <c r="B10" s="649">
        <f>+SALIDA!B66</f>
        <v>32.944807867269041</v>
      </c>
      <c r="C10" s="649">
        <f>+SALIDA!C66</f>
        <v>35.98155605490139</v>
      </c>
      <c r="D10" s="649">
        <f>+SALIDA!D66</f>
        <v>38.88629656074297</v>
      </c>
      <c r="E10" s="649">
        <f>+SALIDA!E66</f>
        <v>46.294708276224569</v>
      </c>
      <c r="F10" s="649">
        <f>+SALIDA!F66</f>
        <v>45.180869434886056</v>
      </c>
      <c r="G10" s="649">
        <f>+SALIDA!G66</f>
        <v>41.445830763016986</v>
      </c>
      <c r="H10" s="649">
        <f>+SALIDA!H66</f>
        <v>40.442972646372297</v>
      </c>
      <c r="I10" s="649">
        <f>+SALIDA!I66</f>
        <v>38.219613194059036</v>
      </c>
      <c r="J10" s="649">
        <f>+SALIDA!J66</f>
        <v>35.747186483166885</v>
      </c>
      <c r="K10" s="649">
        <f>+SALIDA!K66</f>
        <v>35.261129741147627</v>
      </c>
      <c r="L10" s="649">
        <f>+SALIDA!L66</f>
        <v>36.547016016680772</v>
      </c>
      <c r="M10" s="649">
        <f>+SALIDA!M66</f>
        <v>36.993106602636708</v>
      </c>
      <c r="N10" s="649">
        <f>+SALIDA!N66</f>
        <v>34.395149424615958</v>
      </c>
      <c r="O10" s="649">
        <f>+SALIDA!O66</f>
        <v>33.168283941417471</v>
      </c>
      <c r="P10" s="649">
        <f>+SALIDA!P66</f>
        <v>34.187573474715059</v>
      </c>
      <c r="Q10" s="649">
        <f>+SALIDA!Q66</f>
        <v>36.708884959593632</v>
      </c>
      <c r="R10" s="649">
        <f>+SALIDA!R66</f>
        <v>41.772369287938936</v>
      </c>
      <c r="S10" s="649">
        <f>+SALIDA!S66</f>
        <v>43.167005002586293</v>
      </c>
      <c r="T10" s="649">
        <f>+SALIDA!T66</f>
        <v>43.7855415671456</v>
      </c>
      <c r="U10" s="649">
        <f>+SALIDA!U66</f>
        <v>46.343712836609299</v>
      </c>
      <c r="V10" s="649">
        <f>+SALIDA!V66</f>
        <v>48.389314842038736</v>
      </c>
      <c r="W10" s="649">
        <f>+SALIDA!W66</f>
        <v>60.701422536015329</v>
      </c>
      <c r="X10" s="649">
        <f>+SALIDA!X66</f>
        <v>60.055094550312738</v>
      </c>
      <c r="Y10" s="649">
        <f>+SALIDA!Y66</f>
        <v>57.943457330808265</v>
      </c>
      <c r="Z10" s="649" t="e">
        <f>+SALIDA!Z66</f>
        <v>#DIV/0!</v>
      </c>
      <c r="AA10" s="649" t="e">
        <f>+SALIDA!AA66</f>
        <v>#DIV/0!</v>
      </c>
      <c r="AB10" s="649" t="e">
        <f>+SALIDA!AB66</f>
        <v>#DIV/0!</v>
      </c>
      <c r="AC10" s="649" t="e">
        <f>+SALIDA!AC66</f>
        <v>#DIV/0!</v>
      </c>
      <c r="AD10" s="649" t="e">
        <f>+SALIDA!AD66</f>
        <v>#DIV/0!</v>
      </c>
      <c r="AE10" s="649" t="e">
        <f>+SALIDA!AE66</f>
        <v>#DIV/0!</v>
      </c>
      <c r="AF10" s="649" t="e">
        <f>+SALIDA!AF66</f>
        <v>#DIV/0!</v>
      </c>
      <c r="AG10" s="649" t="e">
        <f>+SALIDA!AG66</f>
        <v>#DIV/0!</v>
      </c>
      <c r="AH10" s="649" t="e">
        <f>+SALIDA!AH66</f>
        <v>#DIV/0!</v>
      </c>
      <c r="AI10" s="649" t="e">
        <f>+SALIDA!AI66</f>
        <v>#DIV/0!</v>
      </c>
      <c r="AJ10" s="649" t="e">
        <f>+SALIDA!AJ66</f>
        <v>#DIV/0!</v>
      </c>
      <c r="AK10" s="650" t="e">
        <f>+SALIDA!AK66</f>
        <v>#DIV/0!</v>
      </c>
      <c r="AL10" s="123"/>
      <c r="AM10" s="123"/>
      <c r="AN10" s="123"/>
      <c r="AO10" s="123"/>
      <c r="AP10" s="123"/>
      <c r="AQ10" s="123"/>
      <c r="AR10" s="123"/>
      <c r="AS10" s="123"/>
      <c r="AT10" s="123"/>
      <c r="AU10" s="123"/>
      <c r="AV10" s="123"/>
      <c r="AW10" s="123"/>
    </row>
    <row r="11" spans="1:49" ht="15" customHeight="1">
      <c r="A11" s="357" t="s">
        <v>87</v>
      </c>
      <c r="B11" s="313">
        <f>+SALIDA!B68</f>
        <v>18.935565586753082</v>
      </c>
      <c r="C11" s="313">
        <f>+SALIDA!C68</f>
        <v>20.792511049887729</v>
      </c>
      <c r="D11" s="313">
        <f>+SALIDA!D68</f>
        <v>21.69778702162526</v>
      </c>
      <c r="E11" s="313">
        <f>+SALIDA!E68</f>
        <v>25.019090765696312</v>
      </c>
      <c r="F11" s="313">
        <f>+SALIDA!F68</f>
        <v>24.642275114724697</v>
      </c>
      <c r="G11" s="313">
        <f>+SALIDA!G68</f>
        <v>24.688262973523194</v>
      </c>
      <c r="H11" s="313">
        <f>+SALIDA!H68</f>
        <v>27.281511230694399</v>
      </c>
      <c r="I11" s="313">
        <f>+SALIDA!I68</f>
        <v>25.588178220707647</v>
      </c>
      <c r="J11" s="661">
        <f>+SALIDA!J68</f>
        <v>24.845123933978254</v>
      </c>
      <c r="K11" s="313">
        <f>+SALIDA!K68</f>
        <v>24.078962486639877</v>
      </c>
      <c r="L11" s="313">
        <f>+SALIDA!L68</f>
        <v>25.6300410696639</v>
      </c>
      <c r="M11" s="313">
        <f>+SALIDA!M68</f>
        <v>26.569212594698637</v>
      </c>
      <c r="N11" s="313">
        <f>+SALIDA!N68</f>
        <v>24.538100375393331</v>
      </c>
      <c r="O11" s="313">
        <f>+SALIDA!O68</f>
        <v>24.398754999474995</v>
      </c>
      <c r="P11" s="313">
        <f>+SALIDA!P68</f>
        <v>24.86875956288829</v>
      </c>
      <c r="Q11" s="313">
        <f>+SALIDA!Q68</f>
        <v>25.262990139287815</v>
      </c>
      <c r="R11" s="313">
        <f>+SALIDA!R68</f>
        <v>26.360604589432612</v>
      </c>
      <c r="S11" s="313">
        <f>+SALIDA!S68</f>
        <v>28.625058541699467</v>
      </c>
      <c r="T11" s="313">
        <f>+SALIDA!T68</f>
        <v>29.127676048746498</v>
      </c>
      <c r="U11" s="313">
        <f>+SALIDA!U68</f>
        <v>30.641158898012783</v>
      </c>
      <c r="V11" s="313">
        <f>+SALIDA!V68</f>
        <v>33.028538758320643</v>
      </c>
      <c r="W11" s="313">
        <f>+SALIDA!W68</f>
        <v>39.120462662588132</v>
      </c>
      <c r="X11" s="313">
        <f>+SALIDA!X68</f>
        <v>36.138214769784717</v>
      </c>
      <c r="Y11" s="313">
        <f>+SALIDA!Y68</f>
        <v>33.817764134673709</v>
      </c>
      <c r="Z11" s="123">
        <f>+SALIDA!Z68</f>
        <v>31.608817064063881</v>
      </c>
      <c r="AA11" s="123" t="e">
        <f>+SALIDA!AA68</f>
        <v>#DIV/0!</v>
      </c>
      <c r="AB11" s="123" t="e">
        <f>+SALIDA!AB68</f>
        <v>#DIV/0!</v>
      </c>
      <c r="AC11" s="123" t="e">
        <f>+SALIDA!AC68</f>
        <v>#DIV/0!</v>
      </c>
      <c r="AD11" s="123" t="e">
        <f>+SALIDA!AD68</f>
        <v>#DIV/0!</v>
      </c>
      <c r="AE11" s="123" t="e">
        <f>+SALIDA!AE68</f>
        <v>#DIV/0!</v>
      </c>
      <c r="AF11" s="123" t="e">
        <f>+SALIDA!AF68</f>
        <v>#DIV/0!</v>
      </c>
      <c r="AG11" s="123" t="e">
        <f>+SALIDA!AG68</f>
        <v>#DIV/0!</v>
      </c>
      <c r="AH11" s="123" t="e">
        <f>+SALIDA!AH68</f>
        <v>#DIV/0!</v>
      </c>
      <c r="AI11" s="123" t="e">
        <f>+SALIDA!AI68</f>
        <v>#DIV/0!</v>
      </c>
      <c r="AJ11" s="123" t="e">
        <f>+SALIDA!AJ68</f>
        <v>#DIV/0!</v>
      </c>
      <c r="AK11" s="651" t="e">
        <f>+SALIDA!AK68</f>
        <v>#DIV/0!</v>
      </c>
      <c r="AL11" s="123"/>
      <c r="AM11" s="123"/>
      <c r="AN11" s="123"/>
      <c r="AO11" s="123"/>
      <c r="AP11" s="123"/>
      <c r="AQ11" s="123"/>
      <c r="AR11" s="123"/>
      <c r="AS11" s="123"/>
      <c r="AT11" s="123"/>
      <c r="AU11" s="123"/>
      <c r="AV11" s="123"/>
      <c r="AW11" s="123"/>
    </row>
    <row r="12" spans="1:49" ht="15" customHeight="1">
      <c r="A12" s="357" t="s">
        <v>43</v>
      </c>
      <c r="B12" s="313">
        <f>+SALIDA!B70</f>
        <v>14.009242280515959</v>
      </c>
      <c r="C12" s="313">
        <f>+SALIDA!C70</f>
        <v>15.189045005013663</v>
      </c>
      <c r="D12" s="313">
        <f>+SALIDA!D70</f>
        <v>17.18850953911771</v>
      </c>
      <c r="E12" s="313">
        <f>+SALIDA!E70</f>
        <v>21.275617510528257</v>
      </c>
      <c r="F12" s="313">
        <f>+SALIDA!F70</f>
        <v>20.538594320161359</v>
      </c>
      <c r="G12" s="313">
        <f>+SALIDA!G70</f>
        <v>16.757567789493784</v>
      </c>
      <c r="H12" s="313">
        <f>+SALIDA!H70</f>
        <v>13.161461415677897</v>
      </c>
      <c r="I12" s="313">
        <f>+SALIDA!I70</f>
        <v>12.631434973351388</v>
      </c>
      <c r="J12" s="661">
        <f>+SALIDA!J70</f>
        <v>10.902062549188628</v>
      </c>
      <c r="K12" s="313">
        <f>+SALIDA!K70</f>
        <v>11.182167254507753</v>
      </c>
      <c r="L12" s="313">
        <f>+SALIDA!L70</f>
        <v>10.916974947016875</v>
      </c>
      <c r="M12" s="313">
        <f>+SALIDA!M70</f>
        <v>10.423894007938069</v>
      </c>
      <c r="N12" s="313">
        <f>+SALIDA!N70</f>
        <v>9.8570490492226295</v>
      </c>
      <c r="O12" s="313">
        <f>+SALIDA!O70</f>
        <v>8.76952894194247</v>
      </c>
      <c r="P12" s="313">
        <f>+SALIDA!P70</f>
        <v>9.318813911826771</v>
      </c>
      <c r="Q12" s="313">
        <f>+SALIDA!Q70</f>
        <v>11.445894820305821</v>
      </c>
      <c r="R12" s="313">
        <f>+SALIDA!R70</f>
        <v>15.411764698506328</v>
      </c>
      <c r="S12" s="313">
        <f>+SALIDA!S70</f>
        <v>14.541946460886832</v>
      </c>
      <c r="T12" s="313">
        <f>+SALIDA!T70</f>
        <v>14.657865518399102</v>
      </c>
      <c r="U12" s="313">
        <f>+SALIDA!U70</f>
        <v>15.702553938596514</v>
      </c>
      <c r="V12" s="313">
        <f>+SALIDA!V70</f>
        <v>15.360776083718095</v>
      </c>
      <c r="W12" s="313">
        <f>+SALIDA!W70</f>
        <v>21.580959873427201</v>
      </c>
      <c r="X12" s="313">
        <f>+SALIDA!X70</f>
        <v>23.916879780528017</v>
      </c>
      <c r="Y12" s="313">
        <f>+SALIDA!Y70</f>
        <v>24.125693196134556</v>
      </c>
      <c r="Z12" s="123" t="e">
        <f>+SALIDA!Z70</f>
        <v>#DIV/0!</v>
      </c>
      <c r="AA12" s="123" t="e">
        <f>+SALIDA!AA70</f>
        <v>#DIV/0!</v>
      </c>
      <c r="AB12" s="123" t="e">
        <f>+SALIDA!AB70</f>
        <v>#DIV/0!</v>
      </c>
      <c r="AC12" s="123" t="e">
        <f>+SALIDA!AC70</f>
        <v>#DIV/0!</v>
      </c>
      <c r="AD12" s="123" t="e">
        <f>+SALIDA!AD70</f>
        <v>#DIV/0!</v>
      </c>
      <c r="AE12" s="123" t="e">
        <f>+SALIDA!AE70</f>
        <v>#DIV/0!</v>
      </c>
      <c r="AF12" s="123" t="e">
        <f>+SALIDA!AF70</f>
        <v>#DIV/0!</v>
      </c>
      <c r="AG12" s="123" t="e">
        <f>+SALIDA!AG70</f>
        <v>#DIV/0!</v>
      </c>
      <c r="AH12" s="123" t="e">
        <f>+SALIDA!AH70</f>
        <v>#DIV/0!</v>
      </c>
      <c r="AI12" s="123" t="e">
        <f>+SALIDA!AI70</f>
        <v>#DIV/0!</v>
      </c>
      <c r="AJ12" s="123" t="e">
        <f>+SALIDA!AJ70</f>
        <v>#DIV/0!</v>
      </c>
      <c r="AK12" s="651" t="e">
        <f>+SALIDA!AK70</f>
        <v>#DIV/0!</v>
      </c>
      <c r="AL12" s="123"/>
      <c r="AM12" s="123"/>
      <c r="AN12" s="123"/>
      <c r="AO12" s="123"/>
      <c r="AP12" s="123"/>
      <c r="AQ12" s="123"/>
      <c r="AR12" s="123"/>
      <c r="AS12" s="123"/>
      <c r="AT12" s="123"/>
      <c r="AU12" s="123"/>
      <c r="AV12" s="123"/>
      <c r="AW12" s="123"/>
    </row>
    <row r="13" spans="1:49" ht="15" customHeight="1">
      <c r="A13" s="656" t="s">
        <v>248</v>
      </c>
      <c r="B13" s="315">
        <f t="shared" ref="B13:Y13" si="1">B10</f>
        <v>32.944807867269041</v>
      </c>
      <c r="C13" s="315">
        <f t="shared" si="1"/>
        <v>35.98155605490139</v>
      </c>
      <c r="D13" s="315">
        <f t="shared" si="1"/>
        <v>38.88629656074297</v>
      </c>
      <c r="E13" s="315">
        <f t="shared" si="1"/>
        <v>46.294708276224569</v>
      </c>
      <c r="F13" s="315">
        <f t="shared" si="1"/>
        <v>45.180869434886056</v>
      </c>
      <c r="G13" s="315">
        <f t="shared" si="1"/>
        <v>41.445830763016986</v>
      </c>
      <c r="H13" s="315">
        <f t="shared" si="1"/>
        <v>40.442972646372297</v>
      </c>
      <c r="I13" s="315">
        <f t="shared" si="1"/>
        <v>38.219613194059036</v>
      </c>
      <c r="J13" s="669">
        <f t="shared" si="1"/>
        <v>35.747186483166885</v>
      </c>
      <c r="K13" s="315">
        <f t="shared" si="1"/>
        <v>35.261129741147627</v>
      </c>
      <c r="L13" s="315">
        <f t="shared" si="1"/>
        <v>36.547016016680772</v>
      </c>
      <c r="M13" s="315">
        <f t="shared" si="1"/>
        <v>36.993106602636708</v>
      </c>
      <c r="N13" s="315">
        <f t="shared" si="1"/>
        <v>34.395149424615958</v>
      </c>
      <c r="O13" s="315">
        <f t="shared" si="1"/>
        <v>33.168283941417471</v>
      </c>
      <c r="P13" s="315">
        <f t="shared" si="1"/>
        <v>34.187573474715059</v>
      </c>
      <c r="Q13" s="315">
        <f t="shared" si="1"/>
        <v>36.708884959593632</v>
      </c>
      <c r="R13" s="315">
        <f t="shared" si="1"/>
        <v>41.772369287938936</v>
      </c>
      <c r="S13" s="315">
        <f t="shared" si="1"/>
        <v>43.167005002586293</v>
      </c>
      <c r="T13" s="315">
        <f t="shared" si="1"/>
        <v>43.7855415671456</v>
      </c>
      <c r="U13" s="315">
        <f t="shared" si="1"/>
        <v>46.343712836609299</v>
      </c>
      <c r="V13" s="315">
        <f t="shared" si="1"/>
        <v>48.389314842038736</v>
      </c>
      <c r="W13" s="315">
        <f t="shared" si="1"/>
        <v>60.701422536015329</v>
      </c>
      <c r="X13" s="315">
        <f t="shared" si="1"/>
        <v>60.055094550312738</v>
      </c>
      <c r="Y13" s="315">
        <f t="shared" si="1"/>
        <v>57.943457330808265</v>
      </c>
      <c r="Z13" s="317">
        <v>55.784469384006272</v>
      </c>
      <c r="AA13" s="317">
        <v>57.14839640675288</v>
      </c>
      <c r="AB13" s="317">
        <v>57.049483495540862</v>
      </c>
      <c r="AC13" s="317">
        <v>56.941456617808313</v>
      </c>
      <c r="AD13" s="317">
        <v>56.727230912716898</v>
      </c>
      <c r="AE13" s="317">
        <v>56.559744024883017</v>
      </c>
      <c r="AF13" s="317">
        <v>56.284369956437061</v>
      </c>
      <c r="AG13" s="317">
        <v>55.950961757737907</v>
      </c>
      <c r="AH13" s="317">
        <v>55.686947622871521</v>
      </c>
      <c r="AI13" s="317">
        <v>55.510444968822547</v>
      </c>
      <c r="AJ13" s="317">
        <v>55.168044850895072</v>
      </c>
      <c r="AK13" s="318">
        <v>54.950357966158393</v>
      </c>
      <c r="AL13" s="123"/>
      <c r="AM13" s="123"/>
      <c r="AN13" s="123"/>
      <c r="AO13" s="123"/>
      <c r="AP13" s="123"/>
      <c r="AQ13" s="123"/>
      <c r="AR13" s="123"/>
      <c r="AS13" s="123"/>
      <c r="AT13" s="123"/>
      <c r="AU13" s="123"/>
      <c r="AV13" s="123"/>
      <c r="AW13" s="123"/>
    </row>
    <row r="14" spans="1:49" ht="15" customHeight="1">
      <c r="B14" s="123"/>
      <c r="C14" s="123"/>
      <c r="D14" s="123"/>
      <c r="E14" s="123"/>
      <c r="F14" s="123"/>
      <c r="G14" s="123"/>
      <c r="H14" s="123"/>
      <c r="I14" s="123"/>
      <c r="J14" s="134"/>
      <c r="K14" s="123"/>
      <c r="L14" s="123"/>
      <c r="M14" s="123"/>
      <c r="N14" s="123"/>
      <c r="O14" s="123"/>
      <c r="P14" s="123"/>
    </row>
    <row r="15" spans="1:49" ht="15" customHeight="1">
      <c r="A15" s="372" t="s">
        <v>46</v>
      </c>
      <c r="B15" s="648">
        <v>1999</v>
      </c>
      <c r="C15" s="648">
        <v>2000</v>
      </c>
      <c r="D15" s="648">
        <v>2001</v>
      </c>
      <c r="E15" s="648">
        <v>2002</v>
      </c>
      <c r="F15" s="648">
        <v>2003</v>
      </c>
      <c r="G15" s="648">
        <v>2004</v>
      </c>
      <c r="H15" s="648">
        <v>2005</v>
      </c>
      <c r="I15" s="648">
        <v>2006</v>
      </c>
      <c r="J15" s="648">
        <v>2007</v>
      </c>
      <c r="K15" s="648">
        <v>2008</v>
      </c>
      <c r="L15" s="648">
        <v>2009</v>
      </c>
      <c r="M15" s="648">
        <v>2010</v>
      </c>
      <c r="N15" s="648">
        <v>2011</v>
      </c>
      <c r="O15" s="648">
        <v>2012</v>
      </c>
      <c r="P15" s="648">
        <v>2013</v>
      </c>
      <c r="Q15" s="648">
        <v>2014</v>
      </c>
      <c r="R15" s="648">
        <v>2015</v>
      </c>
      <c r="S15" s="648">
        <v>2016</v>
      </c>
      <c r="T15" s="648">
        <v>2017</v>
      </c>
      <c r="U15" s="648">
        <v>2018</v>
      </c>
      <c r="V15" s="648">
        <v>2019</v>
      </c>
      <c r="W15" s="648">
        <v>2020</v>
      </c>
      <c r="X15" s="648">
        <v>2021</v>
      </c>
      <c r="Y15" s="648">
        <v>2022</v>
      </c>
      <c r="Z15" s="648">
        <v>2023</v>
      </c>
      <c r="AA15" s="648">
        <v>2024</v>
      </c>
      <c r="AB15" s="648">
        <v>2025</v>
      </c>
      <c r="AC15" s="648">
        <v>2026</v>
      </c>
      <c r="AD15" s="648">
        <v>2027</v>
      </c>
      <c r="AE15" s="648">
        <v>2028</v>
      </c>
      <c r="AF15" s="648">
        <v>2029</v>
      </c>
      <c r="AG15" s="648">
        <v>2030</v>
      </c>
      <c r="AH15" s="648">
        <v>2031</v>
      </c>
      <c r="AI15" s="648">
        <v>2032</v>
      </c>
      <c r="AJ15" s="648">
        <v>2033</v>
      </c>
      <c r="AK15" s="652">
        <v>2034</v>
      </c>
      <c r="AL15" s="123"/>
      <c r="AM15" s="123"/>
      <c r="AN15" s="123"/>
      <c r="AO15" s="123"/>
      <c r="AP15" s="123"/>
      <c r="AQ15" s="123"/>
      <c r="AR15" s="123"/>
      <c r="AS15" s="123"/>
      <c r="AT15" s="123"/>
      <c r="AU15" s="123"/>
      <c r="AV15" s="123"/>
      <c r="AW15" s="123"/>
    </row>
    <row r="16" spans="1:49" ht="15" customHeight="1">
      <c r="A16" s="357" t="s">
        <v>63</v>
      </c>
      <c r="B16" s="123">
        <f>SUM(SALIDA!B85:B86)</f>
        <v>5.3755506866366094</v>
      </c>
      <c r="C16" s="123">
        <f>SUM(SALIDA!C85:C86)</f>
        <v>3.6981308885456139</v>
      </c>
      <c r="D16" s="123">
        <f>SUM(SALIDA!D85:D86)</f>
        <v>5.3721690673325631</v>
      </c>
      <c r="E16" s="123">
        <f>SUM(SALIDA!E85:E86)</f>
        <v>5.0172682853108057</v>
      </c>
      <c r="F16" s="123">
        <f>SUM(SALIDA!F85:F86)</f>
        <v>5.3233484137203693</v>
      </c>
      <c r="G16" s="123">
        <f>SUM(SALIDA!G85:G86)</f>
        <v>4.243991845479532</v>
      </c>
      <c r="H16" s="123">
        <f>SUM(SALIDA!H85:H86)</f>
        <v>5.1959829260954375</v>
      </c>
      <c r="I16" s="123">
        <f>SUM(SALIDA!I85:I86)</f>
        <v>5.2959897798902711</v>
      </c>
      <c r="J16" s="123">
        <f>SUM(SALIDA!J85:J86)</f>
        <v>4.7825121720116783</v>
      </c>
      <c r="K16" s="123">
        <f>SUM(SALIDA!K85:K86)</f>
        <v>4.0268881023241745</v>
      </c>
      <c r="L16" s="123">
        <f>SUM(SALIDA!L85:L86)</f>
        <v>3.0492433176028921</v>
      </c>
      <c r="M16" s="123">
        <f>SUM(SALIDA!M85:M86)</f>
        <v>3.0038593532542541</v>
      </c>
      <c r="N16" s="123">
        <f>SUM(SALIDA!N85:N86)</f>
        <v>2.5506325138595338</v>
      </c>
      <c r="O16" s="123">
        <f>SUM(SALIDA!O85:O86)</f>
        <v>2.623647110066722</v>
      </c>
      <c r="P16" s="123">
        <f>SUM(SALIDA!P85:P86)</f>
        <v>2.8314694414084016</v>
      </c>
      <c r="Q16" s="123">
        <f>SUM(SALIDA!Q85:Q86)</f>
        <v>2.8655910351747691</v>
      </c>
      <c r="R16" s="123">
        <f>SUM(SALIDA!R85:R86)</f>
        <v>3.1886651597697551</v>
      </c>
      <c r="S16" s="123">
        <f>SUM(SALIDA!S85:S86)</f>
        <v>1.8050892397991736</v>
      </c>
      <c r="T16" s="123">
        <f>SUM(SALIDA!T85:T86)</f>
        <v>2.4077331308892833</v>
      </c>
      <c r="U16" s="123">
        <f>SUM(SALIDA!U85:U86)</f>
        <v>0.97812003954227555</v>
      </c>
      <c r="V16" s="123">
        <f>SUM(SALIDA!V85:V86)</f>
        <v>3.08398991394336</v>
      </c>
      <c r="W16" s="123">
        <f>SUM(SALIDA!W85:W86)</f>
        <v>1.4917644445356302</v>
      </c>
      <c r="X16" s="123">
        <f>SUM(SALIDA!X85:X86)</f>
        <v>2.3923358357290567</v>
      </c>
      <c r="Y16" s="123">
        <f>SUM(SALIDA!Y85:Y86)</f>
        <v>1.5349962708516891</v>
      </c>
      <c r="Z16" s="123">
        <f>SUM(SALIDA!Z85:Z86)</f>
        <v>0</v>
      </c>
      <c r="AA16" s="123">
        <f>SUM(SALIDA!AA85:AA86)</f>
        <v>0</v>
      </c>
      <c r="AB16" s="123">
        <f>SUM(SALIDA!AB85:AB86)</f>
        <v>0</v>
      </c>
      <c r="AC16" s="123">
        <f>SUM(SALIDA!AC85:AC86)</f>
        <v>0</v>
      </c>
      <c r="AD16" s="123">
        <f>SUM(SALIDA!AD85:AD86)</f>
        <v>0</v>
      </c>
      <c r="AE16" s="123" t="e">
        <f>SUM(SALIDA!AE85:AE86)</f>
        <v>#DIV/0!</v>
      </c>
      <c r="AF16" s="123" t="e">
        <f>SUM(SALIDA!AF85:AF86)</f>
        <v>#DIV/0!</v>
      </c>
      <c r="AG16" s="123" t="e">
        <f>SUM(SALIDA!AG85:AG86)</f>
        <v>#DIV/0!</v>
      </c>
      <c r="AH16" s="123" t="e">
        <f>SUM(SALIDA!AH85:AH86)</f>
        <v>#DIV/0!</v>
      </c>
      <c r="AI16" s="123" t="e">
        <f>SUM(SALIDA!AI85:AI86)</f>
        <v>#DIV/0!</v>
      </c>
      <c r="AJ16" s="123" t="e">
        <f>SUM(SALIDA!AJ85:AJ86)</f>
        <v>#DIV/0!</v>
      </c>
      <c r="AK16" s="651" t="e">
        <f>SUM(SALIDA!AK85:AK86)</f>
        <v>#DIV/0!</v>
      </c>
      <c r="AL16" s="123"/>
      <c r="AM16" s="123"/>
      <c r="AN16" s="123"/>
      <c r="AO16" s="123"/>
      <c r="AP16" s="123"/>
      <c r="AQ16" s="123"/>
      <c r="AR16" s="123"/>
      <c r="AS16" s="123"/>
      <c r="AT16" s="123"/>
      <c r="AU16" s="123"/>
      <c r="AV16" s="123"/>
      <c r="AW16" s="123"/>
    </row>
    <row r="17" spans="1:49" ht="15" customHeight="1">
      <c r="A17" s="357" t="s">
        <v>27</v>
      </c>
      <c r="B17" s="123">
        <f>SALIDA!B89</f>
        <v>4.2794896475390347</v>
      </c>
      <c r="C17" s="123">
        <f>SALIDA!C89</f>
        <v>1.4893641356065417</v>
      </c>
      <c r="D17" s="123">
        <f>SALIDA!D89</f>
        <v>1.4091481238925774</v>
      </c>
      <c r="E17" s="123">
        <f>SALIDA!E89</f>
        <v>1.7310970318957071</v>
      </c>
      <c r="F17" s="123">
        <f>SALIDA!F89</f>
        <v>0.48877448213906938</v>
      </c>
      <c r="G17" s="123">
        <f>SALIDA!G89</f>
        <v>0.93683306688121304</v>
      </c>
      <c r="H17" s="123">
        <f>SALIDA!H89</f>
        <v>0.88562840036689061</v>
      </c>
      <c r="I17" s="123">
        <f>SALIDA!I89</f>
        <v>-0.23472553640037341</v>
      </c>
      <c r="J17" s="123">
        <f>SALIDA!J89</f>
        <v>-1.002239972811533</v>
      </c>
      <c r="K17" s="123">
        <f>SALIDA!K89</f>
        <v>-0.90185179294328655</v>
      </c>
      <c r="L17" s="123">
        <f>SALIDA!L89</f>
        <v>1.1096844851208436</v>
      </c>
      <c r="M17" s="123">
        <f>SALIDA!M89</f>
        <v>1.1344431298088546</v>
      </c>
      <c r="N17" s="123">
        <f>SALIDA!N89</f>
        <v>0.11444338688612456</v>
      </c>
      <c r="O17" s="123">
        <f>SALIDA!O89</f>
        <v>-0.24172927284944754</v>
      </c>
      <c r="P17" s="123">
        <f>SALIDA!P89</f>
        <v>3.9480641665590607E-2</v>
      </c>
      <c r="Q17" s="123">
        <f>SALIDA!Q89</f>
        <v>0.18048234968856788</v>
      </c>
      <c r="R17" s="123">
        <f>SALIDA!R89</f>
        <v>0.45020642068323613</v>
      </c>
      <c r="S17" s="123">
        <f>SALIDA!S89</f>
        <v>1.1048773145732005</v>
      </c>
      <c r="T17" s="123">
        <f>SALIDA!T89</f>
        <v>0.76249404558689915</v>
      </c>
      <c r="U17" s="123">
        <f>SALIDA!U89</f>
        <v>0.34164852666381285</v>
      </c>
      <c r="V17" s="123">
        <f>SALIDA!V89</f>
        <v>-0.44826667284460664</v>
      </c>
      <c r="W17" s="123">
        <f>SALIDA!W89</f>
        <v>4.9538958629533534</v>
      </c>
      <c r="X17" s="123">
        <f>SALIDA!X89</f>
        <v>3.6451099520905776</v>
      </c>
      <c r="Y17" s="123">
        <f>SALIDA!Y89</f>
        <v>0.98560702258717359</v>
      </c>
      <c r="Z17" s="123">
        <f>SALIDA!Z89</f>
        <v>0</v>
      </c>
      <c r="AA17" s="123">
        <f>SALIDA!AA89</f>
        <v>0</v>
      </c>
      <c r="AB17" s="123">
        <f>SALIDA!AB89</f>
        <v>0</v>
      </c>
      <c r="AC17" s="123">
        <f>SALIDA!AC89</f>
        <v>0</v>
      </c>
      <c r="AD17" s="123">
        <f>SALIDA!AD89</f>
        <v>0</v>
      </c>
      <c r="AE17" s="123">
        <f>SALIDA!AE89</f>
        <v>0</v>
      </c>
      <c r="AF17" s="123">
        <f>SALIDA!AF89</f>
        <v>0</v>
      </c>
      <c r="AG17" s="123">
        <f>SALIDA!AG89</f>
        <v>0</v>
      </c>
      <c r="AH17" s="123">
        <f>SALIDA!AH89</f>
        <v>0</v>
      </c>
      <c r="AI17" s="123">
        <f>SALIDA!AI89</f>
        <v>0</v>
      </c>
      <c r="AJ17" s="123">
        <f>SALIDA!AJ89</f>
        <v>0</v>
      </c>
      <c r="AK17" s="651">
        <f>SALIDA!AK89</f>
        <v>0</v>
      </c>
      <c r="AL17" s="123"/>
      <c r="AM17" s="123"/>
      <c r="AN17" s="123"/>
      <c r="AO17" s="123"/>
      <c r="AP17" s="123"/>
      <c r="AQ17" s="123"/>
      <c r="AR17" s="123"/>
      <c r="AS17" s="123"/>
      <c r="AT17" s="123"/>
      <c r="AU17" s="123"/>
      <c r="AV17" s="123"/>
      <c r="AW17" s="123"/>
    </row>
    <row r="18" spans="1:49" ht="15" customHeight="1">
      <c r="A18" s="357" t="s">
        <v>371</v>
      </c>
      <c r="B18" s="123">
        <f>SALIDA!B88</f>
        <v>3.3157415783311905</v>
      </c>
      <c r="C18" s="123">
        <f>SALIDA!C88</f>
        <v>3.3025266158536057</v>
      </c>
      <c r="D18" s="123">
        <f>SALIDA!D88</f>
        <v>3.4222943727967774</v>
      </c>
      <c r="E18" s="123">
        <f>SALIDA!E88</f>
        <v>3.3272481297195347</v>
      </c>
      <c r="F18" s="123">
        <f>SALIDA!F88</f>
        <v>3.6008657196822549</v>
      </c>
      <c r="G18" s="123">
        <f>SALIDA!G88</f>
        <v>3.3928753960208424</v>
      </c>
      <c r="H18" s="123">
        <f>SALIDA!H88</f>
        <v>2.9237042925852683</v>
      </c>
      <c r="I18" s="123">
        <f>SALIDA!I88</f>
        <v>3.4924436952728066</v>
      </c>
      <c r="J18" s="123">
        <f>SALIDA!J88</f>
        <v>3.5043683975202167</v>
      </c>
      <c r="K18" s="123">
        <f>SALIDA!K88</f>
        <v>2.9216340544095365</v>
      </c>
      <c r="L18" s="123">
        <f>SALIDA!L88</f>
        <v>2.9073691944765447</v>
      </c>
      <c r="M18" s="123">
        <f>SALIDA!M88</f>
        <v>2.6123547227267996</v>
      </c>
      <c r="N18" s="123">
        <f>SALIDA!N88</f>
        <v>2.5260733510989555</v>
      </c>
      <c r="O18" s="123">
        <f>SALIDA!O88</f>
        <v>2.4120068088640716</v>
      </c>
      <c r="P18" s="123">
        <f>SALIDA!P88</f>
        <v>2.2131894670358028</v>
      </c>
      <c r="Q18" s="123">
        <f>SALIDA!Q88</f>
        <v>2.0440035758422801</v>
      </c>
      <c r="R18" s="123">
        <f>SALIDA!R88</f>
        <v>2.1898033283707581</v>
      </c>
      <c r="S18" s="123">
        <f>SALIDA!S88</f>
        <v>2.4922665705412563</v>
      </c>
      <c r="T18" s="123">
        <f>SALIDA!T88</f>
        <v>2.5704256402729957</v>
      </c>
      <c r="U18" s="123">
        <f>SALIDA!U88</f>
        <v>2.5053396254755089</v>
      </c>
      <c r="V18" s="123">
        <f>SALIDA!V88</f>
        <v>2.5370901384015734</v>
      </c>
      <c r="W18" s="123">
        <f>SALIDA!W88</f>
        <v>2.6658147025394552</v>
      </c>
      <c r="X18" s="123">
        <f>SALIDA!X88</f>
        <v>2.8530039577144959</v>
      </c>
      <c r="Y18" s="123">
        <f>SALIDA!Y88</f>
        <v>3.1738949728118788</v>
      </c>
      <c r="Z18" s="123">
        <f>SALIDA!Z88</f>
        <v>0</v>
      </c>
      <c r="AA18" s="123" t="e">
        <f>SALIDA!AA88</f>
        <v>#DIV/0!</v>
      </c>
      <c r="AB18" s="123" t="e">
        <f>SALIDA!AB88</f>
        <v>#DIV/0!</v>
      </c>
      <c r="AC18" s="123" t="e">
        <f>SALIDA!AC88</f>
        <v>#DIV/0!</v>
      </c>
      <c r="AD18" s="123" t="e">
        <f>SALIDA!AD88</f>
        <v>#DIV/0!</v>
      </c>
      <c r="AE18" s="123" t="e">
        <f>SALIDA!AE88</f>
        <v>#DIV/0!</v>
      </c>
      <c r="AF18" s="123" t="e">
        <f>SALIDA!AF88</f>
        <v>#DIV/0!</v>
      </c>
      <c r="AG18" s="123" t="e">
        <f>SALIDA!AG88</f>
        <v>#DIV/0!</v>
      </c>
      <c r="AH18" s="123" t="e">
        <f>SALIDA!AH88</f>
        <v>#DIV/0!</v>
      </c>
      <c r="AI18" s="123" t="e">
        <f>SALIDA!AI88</f>
        <v>#DIV/0!</v>
      </c>
      <c r="AJ18" s="123" t="e">
        <f>SALIDA!AJ88</f>
        <v>#DIV/0!</v>
      </c>
      <c r="AK18" s="651" t="e">
        <f>SALIDA!AK88</f>
        <v>#DIV/0!</v>
      </c>
      <c r="AL18" s="123"/>
      <c r="AM18" s="123"/>
      <c r="AN18" s="123"/>
      <c r="AO18" s="123"/>
      <c r="AP18" s="123"/>
      <c r="AQ18" s="123"/>
      <c r="AR18" s="123"/>
      <c r="AS18" s="123"/>
      <c r="AT18" s="123"/>
      <c r="AU18" s="123"/>
      <c r="AV18" s="123"/>
      <c r="AW18" s="123"/>
    </row>
    <row r="19" spans="1:49" ht="15" customHeight="1">
      <c r="A19" s="657" t="s">
        <v>42</v>
      </c>
      <c r="B19" s="653">
        <f t="shared" ref="B19:Y19" si="2">SUM(B16:B18)</f>
        <v>12.970781912506835</v>
      </c>
      <c r="C19" s="653">
        <f t="shared" si="2"/>
        <v>8.4900216400057609</v>
      </c>
      <c r="D19" s="653">
        <f t="shared" si="2"/>
        <v>10.203611564021918</v>
      </c>
      <c r="E19" s="653">
        <f t="shared" si="2"/>
        <v>10.075613446926049</v>
      </c>
      <c r="F19" s="653">
        <f t="shared" si="2"/>
        <v>9.4129886155416926</v>
      </c>
      <c r="G19" s="653">
        <f t="shared" si="2"/>
        <v>8.5737003083815875</v>
      </c>
      <c r="H19" s="653">
        <f t="shared" si="2"/>
        <v>9.0053156190475967</v>
      </c>
      <c r="I19" s="653">
        <f t="shared" si="2"/>
        <v>8.5537079387627042</v>
      </c>
      <c r="J19" s="653">
        <f t="shared" si="2"/>
        <v>7.2846405967203616</v>
      </c>
      <c r="K19" s="653">
        <f t="shared" si="2"/>
        <v>6.0466703637904242</v>
      </c>
      <c r="L19" s="653">
        <f t="shared" si="2"/>
        <v>7.0662969972002809</v>
      </c>
      <c r="M19" s="653">
        <f t="shared" si="2"/>
        <v>6.7506572057899081</v>
      </c>
      <c r="N19" s="653">
        <f t="shared" si="2"/>
        <v>5.1911492518446138</v>
      </c>
      <c r="O19" s="653">
        <f t="shared" si="2"/>
        <v>4.7939246460813463</v>
      </c>
      <c r="P19" s="653">
        <f t="shared" si="2"/>
        <v>5.0841395501097946</v>
      </c>
      <c r="Q19" s="653">
        <f t="shared" si="2"/>
        <v>5.0900769607056171</v>
      </c>
      <c r="R19" s="653">
        <f t="shared" si="2"/>
        <v>5.8286749088237499</v>
      </c>
      <c r="S19" s="653">
        <f t="shared" si="2"/>
        <v>5.4022331249136304</v>
      </c>
      <c r="T19" s="653">
        <f t="shared" si="2"/>
        <v>5.7406528167491784</v>
      </c>
      <c r="U19" s="653">
        <f t="shared" si="2"/>
        <v>3.8251081916815974</v>
      </c>
      <c r="V19" s="653">
        <f t="shared" si="2"/>
        <v>5.1728133795003268</v>
      </c>
      <c r="W19" s="653">
        <f t="shared" si="2"/>
        <v>9.111475010028439</v>
      </c>
      <c r="X19" s="653">
        <f t="shared" si="2"/>
        <v>8.8904497455341307</v>
      </c>
      <c r="Y19" s="653">
        <f t="shared" si="2"/>
        <v>5.6944982662507417</v>
      </c>
      <c r="Z19" s="653">
        <f>SUM(Z16:Z18)</f>
        <v>0</v>
      </c>
      <c r="AA19" s="653" t="e">
        <f t="shared" ref="AA19:AK19" si="3">SUM(AA16:AA18)</f>
        <v>#DIV/0!</v>
      </c>
      <c r="AB19" s="653" t="e">
        <f t="shared" si="3"/>
        <v>#DIV/0!</v>
      </c>
      <c r="AC19" s="653" t="e">
        <f t="shared" si="3"/>
        <v>#DIV/0!</v>
      </c>
      <c r="AD19" s="653" t="e">
        <f t="shared" si="3"/>
        <v>#DIV/0!</v>
      </c>
      <c r="AE19" s="653" t="e">
        <f t="shared" si="3"/>
        <v>#DIV/0!</v>
      </c>
      <c r="AF19" s="653" t="e">
        <f t="shared" si="3"/>
        <v>#DIV/0!</v>
      </c>
      <c r="AG19" s="653" t="e">
        <f t="shared" si="3"/>
        <v>#DIV/0!</v>
      </c>
      <c r="AH19" s="653" t="e">
        <f t="shared" si="3"/>
        <v>#DIV/0!</v>
      </c>
      <c r="AI19" s="653" t="e">
        <f t="shared" si="3"/>
        <v>#DIV/0!</v>
      </c>
      <c r="AJ19" s="653" t="e">
        <f t="shared" si="3"/>
        <v>#DIV/0!</v>
      </c>
      <c r="AK19" s="654" t="e">
        <f t="shared" si="3"/>
        <v>#DIV/0!</v>
      </c>
    </row>
    <row r="20" spans="1:49" s="130" customFormat="1" ht="15" customHeight="1">
      <c r="B20" s="134"/>
      <c r="C20" s="134"/>
      <c r="D20" s="134"/>
      <c r="E20" s="134"/>
      <c r="F20" s="134"/>
      <c r="G20" s="134"/>
      <c r="H20" s="134"/>
      <c r="I20" s="134"/>
      <c r="J20" s="134"/>
      <c r="K20" s="134"/>
      <c r="L20" s="134"/>
      <c r="M20" s="134"/>
      <c r="N20" s="134"/>
      <c r="O20" s="134"/>
      <c r="P20" s="134"/>
    </row>
    <row r="21" spans="1:49">
      <c r="A21" s="11"/>
      <c r="K21" s="11"/>
    </row>
    <row r="22" spans="1:49" s="130" customFormat="1"/>
    <row r="43" spans="2:9" s="130" customFormat="1"/>
    <row r="44" spans="2:9" ht="17" customHeight="1"/>
    <row r="46" spans="2:9" ht="15" customHeight="1">
      <c r="B46" s="123"/>
      <c r="C46" s="123"/>
      <c r="D46" s="123"/>
      <c r="E46" s="123"/>
      <c r="F46" s="123"/>
      <c r="G46" s="123"/>
      <c r="H46" s="123"/>
      <c r="I46" s="123"/>
    </row>
    <row r="47" spans="2:9" s="130" customFormat="1"/>
  </sheetData>
  <mergeCells count="2">
    <mergeCell ref="Z4:AK4"/>
    <mergeCell ref="I1:J1"/>
  </mergeCells>
  <hyperlinks>
    <hyperlink ref="I1" location="'Cumplimiento de la regla'!A1" display="Cumplimiento de la regla" xr:uid="{4C043C4E-6CB7-1B42-8B18-5CE34EC8CA00}"/>
    <hyperlink ref="E1" location="Introducción!A1" display="Introducción" xr:uid="{DFFA9471-EB9C-EC44-BAB3-94270BD6B2BA}"/>
    <hyperlink ref="H1" location="Gráficos!A1" display="Gráficos" xr:uid="{DF5731ED-05AA-E448-A8B6-3FA799FCFFF1}"/>
    <hyperlink ref="G1" location="SALIDA!A1" display="SALIDA" xr:uid="{AE6F5439-5C5D-614D-9518-6F9B65F15326}"/>
    <hyperlink ref="F1" location="Supuestos!A1" display="Supuestos" xr:uid="{ABB6DFD6-6D43-FA42-8753-1CD387ED916E}"/>
  </hyperlink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9FD1C-D51D-ED4D-AC30-42F983EC7278}">
  <sheetPr>
    <tabColor rgb="FF002060"/>
  </sheetPr>
  <dimension ref="A1:AY46"/>
  <sheetViews>
    <sheetView zoomScale="90" zoomScaleNormal="90" workbookViewId="0">
      <selection activeCell="AK36" sqref="AK36"/>
    </sheetView>
  </sheetViews>
  <sheetFormatPr baseColWidth="10" defaultRowHeight="15"/>
  <cols>
    <col min="1" max="1" width="45" style="5" customWidth="1"/>
    <col min="2" max="37" width="10.1640625" style="5" customWidth="1"/>
    <col min="38" max="16384" width="10.83203125" style="5"/>
  </cols>
  <sheetData>
    <row r="1" spans="1:51" ht="36" customHeight="1">
      <c r="A1" s="533" t="s">
        <v>316</v>
      </c>
      <c r="E1" s="531" t="s">
        <v>319</v>
      </c>
      <c r="F1" s="532" t="s">
        <v>285</v>
      </c>
      <c r="G1" s="532" t="s">
        <v>317</v>
      </c>
      <c r="H1" s="532" t="s">
        <v>318</v>
      </c>
      <c r="I1" s="757" t="s">
        <v>320</v>
      </c>
      <c r="J1" s="757"/>
    </row>
    <row r="3" spans="1:51" ht="73" customHeight="1">
      <c r="A3" s="756" t="s">
        <v>337</v>
      </c>
      <c r="B3" s="756"/>
      <c r="C3" s="756"/>
      <c r="D3" s="756"/>
      <c r="E3" s="756"/>
      <c r="F3" s="756"/>
      <c r="G3" s="756"/>
      <c r="H3" s="756"/>
      <c r="I3" s="756"/>
      <c r="J3" s="756"/>
      <c r="K3" s="756"/>
      <c r="L3" s="756"/>
      <c r="M3" s="756"/>
    </row>
    <row r="4" spans="1:51" ht="7" customHeight="1">
      <c r="A4" s="517"/>
      <c r="B4" s="517"/>
      <c r="C4" s="517"/>
      <c r="D4" s="517"/>
      <c r="E4" s="517"/>
      <c r="F4" s="517"/>
      <c r="G4" s="517"/>
      <c r="H4" s="517"/>
      <c r="I4" s="517"/>
      <c r="J4" s="517"/>
      <c r="K4" s="517"/>
      <c r="L4" s="517"/>
      <c r="M4" s="517"/>
    </row>
    <row r="5" spans="1:51" ht="53" customHeight="1">
      <c r="A5" s="517"/>
      <c r="B5" s="517"/>
      <c r="C5" s="517"/>
      <c r="D5" s="517"/>
      <c r="E5" s="517"/>
      <c r="F5" s="517"/>
      <c r="G5" s="517"/>
      <c r="H5" s="517"/>
      <c r="I5" s="517"/>
      <c r="J5" s="517"/>
      <c r="K5" s="517"/>
      <c r="L5" s="517"/>
      <c r="M5" s="517"/>
    </row>
    <row r="6" spans="1:51" ht="7" customHeight="1">
      <c r="A6" s="517"/>
      <c r="B6" s="517"/>
      <c r="C6" s="517"/>
      <c r="D6" s="517"/>
      <c r="E6" s="517"/>
      <c r="F6" s="517"/>
      <c r="G6" s="517"/>
      <c r="H6" s="517"/>
      <c r="I6" s="517"/>
      <c r="J6" s="517"/>
      <c r="K6" s="517"/>
      <c r="L6" s="517"/>
      <c r="M6" s="517"/>
    </row>
    <row r="7" spans="1:51" ht="83" customHeight="1">
      <c r="A7" s="716" t="s">
        <v>338</v>
      </c>
      <c r="B7" s="716"/>
      <c r="C7" s="716"/>
      <c r="D7" s="716"/>
      <c r="E7" s="716"/>
      <c r="F7" s="716"/>
      <c r="G7" s="716"/>
      <c r="H7" s="716"/>
      <c r="I7" s="716"/>
      <c r="J7" s="716"/>
      <c r="K7" s="716"/>
      <c r="L7" s="716"/>
      <c r="M7" s="716"/>
    </row>
    <row r="8" spans="1:51" ht="42" customHeight="1">
      <c r="A8" s="756" t="s">
        <v>339</v>
      </c>
      <c r="B8" s="756"/>
      <c r="C8" s="756"/>
      <c r="D8" s="756"/>
      <c r="E8" s="756"/>
      <c r="F8" s="756"/>
      <c r="G8" s="756"/>
      <c r="H8" s="756"/>
      <c r="I8" s="756"/>
      <c r="J8" s="756"/>
      <c r="K8" s="756"/>
      <c r="L8" s="756"/>
      <c r="M8" s="756"/>
    </row>
    <row r="9" spans="1:51" ht="35" customHeight="1">
      <c r="A9" s="758" t="s">
        <v>341</v>
      </c>
      <c r="B9" s="758"/>
      <c r="C9" s="758"/>
      <c r="D9" s="758"/>
      <c r="E9" s="758"/>
      <c r="F9" s="758"/>
      <c r="G9" s="758"/>
      <c r="H9" s="758"/>
      <c r="I9" s="758"/>
      <c r="J9" s="758"/>
      <c r="K9" s="758"/>
      <c r="L9" s="758"/>
      <c r="M9" s="758"/>
    </row>
    <row r="10" spans="1:51">
      <c r="Y10" s="232"/>
      <c r="Z10" s="232"/>
      <c r="AM10" s="89"/>
      <c r="AN10" s="89"/>
      <c r="AO10" s="89"/>
      <c r="AP10" s="89"/>
      <c r="AQ10" s="89"/>
      <c r="AR10" s="89"/>
      <c r="AS10" s="89"/>
      <c r="AT10" s="89"/>
      <c r="AU10" s="89"/>
      <c r="AV10" s="89"/>
      <c r="AW10" s="89"/>
      <c r="AX10" s="89"/>
      <c r="AY10" s="89"/>
    </row>
    <row r="11" spans="1:51">
      <c r="A11" s="475" t="s">
        <v>233</v>
      </c>
      <c r="B11" s="308">
        <v>36525</v>
      </c>
      <c r="C11" s="308">
        <v>36891</v>
      </c>
      <c r="D11" s="308">
        <v>37256</v>
      </c>
      <c r="E11" s="308">
        <v>37621</v>
      </c>
      <c r="F11" s="308">
        <v>37986</v>
      </c>
      <c r="G11" s="308">
        <v>38352</v>
      </c>
      <c r="H11" s="308">
        <v>38717</v>
      </c>
      <c r="I11" s="308">
        <v>39082</v>
      </c>
      <c r="J11" s="308">
        <v>39447</v>
      </c>
      <c r="K11" s="308">
        <v>39813</v>
      </c>
      <c r="L11" s="308">
        <v>40178</v>
      </c>
      <c r="M11" s="308">
        <v>40543</v>
      </c>
      <c r="N11" s="308">
        <v>40908</v>
      </c>
      <c r="O11" s="308">
        <v>41274</v>
      </c>
      <c r="P11" s="308">
        <v>41639</v>
      </c>
      <c r="Q11" s="308">
        <v>42004</v>
      </c>
      <c r="R11" s="308">
        <v>42369</v>
      </c>
      <c r="S11" s="308">
        <v>42735</v>
      </c>
      <c r="T11" s="308">
        <v>43100</v>
      </c>
      <c r="U11" s="308">
        <v>43465</v>
      </c>
      <c r="V11" s="308">
        <v>43830</v>
      </c>
      <c r="W11" s="308">
        <v>44196</v>
      </c>
      <c r="X11" s="308">
        <v>44561</v>
      </c>
      <c r="Y11" s="308">
        <v>44926</v>
      </c>
      <c r="Z11" s="308">
        <v>45291</v>
      </c>
      <c r="AA11" s="308">
        <v>45657</v>
      </c>
      <c r="AB11" s="308">
        <v>46022</v>
      </c>
      <c r="AC11" s="308">
        <v>46387</v>
      </c>
      <c r="AD11" s="308">
        <v>46752</v>
      </c>
      <c r="AE11" s="308">
        <v>47118</v>
      </c>
      <c r="AF11" s="308">
        <v>47483</v>
      </c>
      <c r="AG11" s="308">
        <v>47848</v>
      </c>
      <c r="AH11" s="308">
        <v>48213</v>
      </c>
      <c r="AI11" s="308">
        <v>48579</v>
      </c>
      <c r="AJ11" s="308">
        <v>48944</v>
      </c>
      <c r="AK11" s="310">
        <v>49309</v>
      </c>
      <c r="AM11" s="89"/>
      <c r="AN11" s="89"/>
      <c r="AO11" s="89"/>
      <c r="AP11" s="89"/>
      <c r="AQ11" s="89"/>
      <c r="AR11" s="89"/>
      <c r="AS11" s="89"/>
      <c r="AT11" s="89"/>
      <c r="AU11" s="89"/>
      <c r="AV11" s="89"/>
      <c r="AW11" s="89"/>
      <c r="AX11" s="89"/>
      <c r="AY11" s="89"/>
    </row>
    <row r="12" spans="1:51">
      <c r="A12" s="473" t="s">
        <v>146</v>
      </c>
      <c r="B12" s="145">
        <v>151565.005</v>
      </c>
      <c r="C12" s="145">
        <v>200762.30376926425</v>
      </c>
      <c r="D12" s="145">
        <v>219063.37191489359</v>
      </c>
      <c r="E12" s="145">
        <v>237505.58474136423</v>
      </c>
      <c r="F12" s="145">
        <v>268144.09650682396</v>
      </c>
      <c r="G12" s="145">
        <v>302514.65118942776</v>
      </c>
      <c r="H12" s="145">
        <v>337958</v>
      </c>
      <c r="I12" s="145">
        <v>381604</v>
      </c>
      <c r="J12" s="145">
        <v>428506</v>
      </c>
      <c r="K12" s="145">
        <v>476553.99999999942</v>
      </c>
      <c r="L12" s="145">
        <v>501573.9999999993</v>
      </c>
      <c r="M12" s="145">
        <v>544059.99999999953</v>
      </c>
      <c r="N12" s="145">
        <v>619022.99999999907</v>
      </c>
      <c r="O12" s="145">
        <v>666506.9999999993</v>
      </c>
      <c r="P12" s="145">
        <v>714092.9999999986</v>
      </c>
      <c r="Q12" s="145">
        <v>762902.99999999884</v>
      </c>
      <c r="R12" s="145">
        <v>804691.99999999884</v>
      </c>
      <c r="S12" s="145">
        <v>863781.99999999849</v>
      </c>
      <c r="T12" s="145">
        <v>920470.9999999993</v>
      </c>
      <c r="U12" s="145">
        <v>987791</v>
      </c>
      <c r="V12" s="145">
        <v>1060068</v>
      </c>
      <c r="W12" s="145">
        <v>997741.99999999802</v>
      </c>
      <c r="X12" s="145">
        <v>1192586.0000000021</v>
      </c>
      <c r="Y12" s="146">
        <v>1462522.43952969</v>
      </c>
      <c r="Z12" s="10">
        <f>Supuestos!F9</f>
        <v>1462522.43952969</v>
      </c>
      <c r="AA12" s="10">
        <f>Supuestos!G9</f>
        <v>1462522.43952969</v>
      </c>
      <c r="AB12" s="10">
        <f>Supuestos!H9</f>
        <v>1462522.43952969</v>
      </c>
      <c r="AC12" s="10">
        <f>Supuestos!I9</f>
        <v>1462522.43952969</v>
      </c>
      <c r="AD12" s="10">
        <f>Supuestos!J9</f>
        <v>1462522.43952969</v>
      </c>
      <c r="AE12" s="10">
        <f>Supuestos!K9</f>
        <v>1462522.43952969</v>
      </c>
      <c r="AF12" s="10">
        <f>Supuestos!L9</f>
        <v>1462522.43952969</v>
      </c>
      <c r="AG12" s="10">
        <f>Supuestos!M9</f>
        <v>1462522.43952969</v>
      </c>
      <c r="AH12" s="10">
        <f>Supuestos!N9</f>
        <v>1462522.43952969</v>
      </c>
      <c r="AI12" s="10">
        <f>Supuestos!O9</f>
        <v>1462522.43952969</v>
      </c>
      <c r="AJ12" s="10">
        <f>Supuestos!P9</f>
        <v>1462522.43952969</v>
      </c>
      <c r="AK12" s="265">
        <f>Supuestos!Q9</f>
        <v>1462522.43952969</v>
      </c>
      <c r="AM12" s="89"/>
      <c r="AN12" s="89"/>
      <c r="AO12" s="89"/>
      <c r="AP12" s="89"/>
      <c r="AQ12" s="89"/>
      <c r="AR12" s="89"/>
      <c r="AS12" s="89"/>
      <c r="AT12" s="89"/>
      <c r="AU12" s="89"/>
      <c r="AV12" s="89"/>
      <c r="AW12" s="89"/>
      <c r="AX12" s="89"/>
      <c r="AY12" s="89"/>
    </row>
    <row r="13" spans="1:51">
      <c r="A13" s="473" t="s">
        <v>156</v>
      </c>
      <c r="B13" s="153">
        <v>7.8882552335999057</v>
      </c>
      <c r="C13" s="153">
        <f t="shared" ref="C13:AK13" si="0">((C12/B12)-1)*100</f>
        <v>32.459536928900064</v>
      </c>
      <c r="D13" s="153">
        <f t="shared" si="0"/>
        <v>9.1157890709715694</v>
      </c>
      <c r="E13" s="153">
        <f t="shared" si="0"/>
        <v>8.4186656423947746</v>
      </c>
      <c r="F13" s="153">
        <f t="shared" si="0"/>
        <v>12.900122663988745</v>
      </c>
      <c r="G13" s="153">
        <f t="shared" si="0"/>
        <v>12.817941968649361</v>
      </c>
      <c r="H13" s="153">
        <f t="shared" si="0"/>
        <v>11.716242063389659</v>
      </c>
      <c r="I13" s="153">
        <f t="shared" si="0"/>
        <v>12.914622527059571</v>
      </c>
      <c r="J13" s="153">
        <f t="shared" si="0"/>
        <v>12.290751669269717</v>
      </c>
      <c r="K13" s="153">
        <f t="shared" si="0"/>
        <v>11.212911837873785</v>
      </c>
      <c r="L13" s="153">
        <f t="shared" si="0"/>
        <v>5.2501920034245586</v>
      </c>
      <c r="M13" s="153">
        <f t="shared" si="0"/>
        <v>8.4705347565863232</v>
      </c>
      <c r="N13" s="153">
        <f t="shared" si="0"/>
        <v>13.778443554019692</v>
      </c>
      <c r="O13" s="153">
        <f t="shared" si="0"/>
        <v>7.6707973694031262</v>
      </c>
      <c r="P13" s="153">
        <f t="shared" si="0"/>
        <v>7.1396099365797161</v>
      </c>
      <c r="Q13" s="153">
        <f t="shared" si="0"/>
        <v>6.8352441488714222</v>
      </c>
      <c r="R13" s="153">
        <f t="shared" si="0"/>
        <v>5.477629528262451</v>
      </c>
      <c r="S13" s="153">
        <f t="shared" si="0"/>
        <v>7.3431822361847532</v>
      </c>
      <c r="T13" s="153">
        <f t="shared" si="0"/>
        <v>6.5628827644013121</v>
      </c>
      <c r="U13" s="153">
        <f t="shared" si="0"/>
        <v>7.3136470350506189</v>
      </c>
      <c r="V13" s="153">
        <f t="shared" si="0"/>
        <v>7.3170336640038247</v>
      </c>
      <c r="W13" s="153">
        <f t="shared" si="0"/>
        <v>-5.8794341495075786</v>
      </c>
      <c r="X13" s="153">
        <f t="shared" si="0"/>
        <v>19.528495342483776</v>
      </c>
      <c r="Y13" s="154">
        <f t="shared" si="0"/>
        <v>22.634547070792998</v>
      </c>
      <c r="Z13" s="33">
        <f t="shared" si="0"/>
        <v>0</v>
      </c>
      <c r="AA13" s="33">
        <f t="shared" si="0"/>
        <v>0</v>
      </c>
      <c r="AB13" s="33">
        <f t="shared" si="0"/>
        <v>0</v>
      </c>
      <c r="AC13" s="33">
        <f t="shared" si="0"/>
        <v>0</v>
      </c>
      <c r="AD13" s="33">
        <f t="shared" si="0"/>
        <v>0</v>
      </c>
      <c r="AE13" s="33">
        <f t="shared" si="0"/>
        <v>0</v>
      </c>
      <c r="AF13" s="33">
        <f t="shared" si="0"/>
        <v>0</v>
      </c>
      <c r="AG13" s="33">
        <f t="shared" si="0"/>
        <v>0</v>
      </c>
      <c r="AH13" s="33">
        <f t="shared" si="0"/>
        <v>0</v>
      </c>
      <c r="AI13" s="33">
        <f t="shared" si="0"/>
        <v>0</v>
      </c>
      <c r="AJ13" s="33">
        <f t="shared" si="0"/>
        <v>0</v>
      </c>
      <c r="AK13" s="312">
        <f t="shared" si="0"/>
        <v>0</v>
      </c>
      <c r="AM13" s="89"/>
      <c r="AN13" s="89"/>
      <c r="AO13" s="89"/>
      <c r="AP13" s="89"/>
      <c r="AQ13" s="89"/>
      <c r="AR13" s="89"/>
      <c r="AS13" s="89"/>
      <c r="AT13" s="89"/>
      <c r="AU13" s="89"/>
      <c r="AV13" s="89"/>
      <c r="AW13" s="89"/>
      <c r="AX13" s="89"/>
      <c r="AY13" s="89"/>
    </row>
    <row r="14" spans="1:51">
      <c r="A14" s="473" t="s">
        <v>252</v>
      </c>
      <c r="B14" s="153">
        <v>-4.2040152436993106</v>
      </c>
      <c r="C14" s="153">
        <v>0.97329979686979762</v>
      </c>
      <c r="D14" s="153">
        <v>2.9704791014839582</v>
      </c>
      <c r="E14" s="153">
        <v>1.9915400356290247</v>
      </c>
      <c r="F14" s="153">
        <v>4.560975319753191</v>
      </c>
      <c r="G14" s="153">
        <v>4.2521587701046304</v>
      </c>
      <c r="H14" s="153">
        <v>4.7933599965399809</v>
      </c>
      <c r="I14" s="153">
        <v>6.7168686984440118</v>
      </c>
      <c r="J14" s="153">
        <v>6.738194690909749</v>
      </c>
      <c r="K14" s="153">
        <v>3.2834461861654063</v>
      </c>
      <c r="L14" s="153">
        <v>1.1396486454805954</v>
      </c>
      <c r="M14" s="153">
        <v>4.4946589707092199</v>
      </c>
      <c r="N14" s="153">
        <v>6.9478919817355544</v>
      </c>
      <c r="O14" s="153">
        <v>3.9126357671611434</v>
      </c>
      <c r="P14" s="153">
        <v>5.1339935199567144</v>
      </c>
      <c r="Q14" s="153">
        <v>4.4990300011097162</v>
      </c>
      <c r="R14" s="153">
        <v>2.9559013752752383</v>
      </c>
      <c r="S14" s="153">
        <v>2.0873825016279435</v>
      </c>
      <c r="T14" s="153">
        <v>1.3593608678874602</v>
      </c>
      <c r="U14" s="153">
        <v>2.5643242827770418</v>
      </c>
      <c r="V14" s="153">
        <v>3.1868553924553344</v>
      </c>
      <c r="W14" s="153">
        <v>-7.2522990749231848</v>
      </c>
      <c r="X14" s="153">
        <v>11.016193266978004</v>
      </c>
      <c r="Y14" s="154">
        <f>Supuestos!E12*100</f>
        <v>7.495775781405345</v>
      </c>
      <c r="Z14" s="33">
        <f>Supuestos!F12*100</f>
        <v>0</v>
      </c>
      <c r="AA14" s="33">
        <f>Supuestos!G12*100</f>
        <v>0</v>
      </c>
      <c r="AB14" s="33">
        <f>Supuestos!H12*100</f>
        <v>0</v>
      </c>
      <c r="AC14" s="33">
        <f>Supuestos!I12*100</f>
        <v>0</v>
      </c>
      <c r="AD14" s="33">
        <f>Supuestos!J12*100</f>
        <v>0</v>
      </c>
      <c r="AE14" s="33">
        <f>Supuestos!K12*100</f>
        <v>0</v>
      </c>
      <c r="AF14" s="33">
        <f>Supuestos!L12*100</f>
        <v>0</v>
      </c>
      <c r="AG14" s="33">
        <f>Supuestos!M12*100</f>
        <v>0</v>
      </c>
      <c r="AH14" s="33">
        <f>Supuestos!N12*100</f>
        <v>0</v>
      </c>
      <c r="AI14" s="33">
        <f>Supuestos!O12*100</f>
        <v>0</v>
      </c>
      <c r="AJ14" s="33">
        <f>Supuestos!P12*100</f>
        <v>0</v>
      </c>
      <c r="AK14" s="312">
        <f>Supuestos!Q12*100</f>
        <v>0</v>
      </c>
      <c r="AM14" s="89"/>
      <c r="AN14" s="89"/>
      <c r="AO14" s="89"/>
      <c r="AP14" s="89"/>
      <c r="AQ14" s="89"/>
      <c r="AR14" s="89"/>
      <c r="AS14" s="89"/>
      <c r="AT14" s="89"/>
      <c r="AU14" s="89"/>
      <c r="AV14" s="89"/>
      <c r="AW14" s="89"/>
      <c r="AX14" s="89"/>
      <c r="AY14" s="89"/>
    </row>
    <row r="15" spans="1:51">
      <c r="A15" s="476" t="s">
        <v>253</v>
      </c>
      <c r="B15" s="111">
        <v>9.2316540745348128</v>
      </c>
      <c r="C15" s="111">
        <v>8.7482000000000006</v>
      </c>
      <c r="D15" s="111">
        <v>7.6483040097600652</v>
      </c>
      <c r="E15" s="111">
        <v>6.9918404067033757</v>
      </c>
      <c r="F15" s="111">
        <v>6.4913617953455738</v>
      </c>
      <c r="G15" s="111">
        <v>5.4969828257933617</v>
      </c>
      <c r="H15" s="111">
        <v>4.8551654166048674</v>
      </c>
      <c r="I15" s="111">
        <v>4.4779483553561761</v>
      </c>
      <c r="J15" s="111">
        <v>5.6944612269421713</v>
      </c>
      <c r="K15" s="111">
        <v>7.6743713813311798</v>
      </c>
      <c r="L15" s="111">
        <v>2.0018080000000049</v>
      </c>
      <c r="M15" s="111">
        <v>3.1712222199041795</v>
      </c>
      <c r="N15" s="111">
        <v>3.7266851825832337</v>
      </c>
      <c r="O15" s="111">
        <v>2.44</v>
      </c>
      <c r="P15" s="111">
        <v>1.94</v>
      </c>
      <c r="Q15" s="111">
        <v>3.66</v>
      </c>
      <c r="R15" s="111">
        <v>6.77</v>
      </c>
      <c r="S15" s="111">
        <v>5.75</v>
      </c>
      <c r="T15" s="111">
        <v>4.09</v>
      </c>
      <c r="U15" s="111">
        <v>3.18</v>
      </c>
      <c r="V15" s="111">
        <v>3.8</v>
      </c>
      <c r="W15" s="111">
        <v>1.61</v>
      </c>
      <c r="X15" s="111">
        <v>5.62</v>
      </c>
      <c r="Y15" s="140">
        <f>Supuestos!E13*100</f>
        <v>13.119999999999997</v>
      </c>
      <c r="Z15" s="391">
        <f>Supuestos!F13*100</f>
        <v>0</v>
      </c>
      <c r="AA15" s="391">
        <f>Supuestos!G13*100</f>
        <v>0</v>
      </c>
      <c r="AB15" s="391">
        <f>Supuestos!H13*100</f>
        <v>0</v>
      </c>
      <c r="AC15" s="391">
        <f>Supuestos!I13*100</f>
        <v>0</v>
      </c>
      <c r="AD15" s="391">
        <f>Supuestos!J13*100</f>
        <v>0</v>
      </c>
      <c r="AE15" s="391">
        <f>Supuestos!K13*100</f>
        <v>0</v>
      </c>
      <c r="AF15" s="391">
        <f>Supuestos!L13*100</f>
        <v>0</v>
      </c>
      <c r="AG15" s="391">
        <f>Supuestos!M13*100</f>
        <v>0</v>
      </c>
      <c r="AH15" s="391">
        <f>Supuestos!N13*100</f>
        <v>0</v>
      </c>
      <c r="AI15" s="391">
        <f>Supuestos!O13*100</f>
        <v>0</v>
      </c>
      <c r="AJ15" s="391">
        <f>Supuestos!P13*100</f>
        <v>0</v>
      </c>
      <c r="AK15" s="464">
        <f>Supuestos!Q13*100</f>
        <v>0</v>
      </c>
      <c r="AM15" s="89"/>
      <c r="AN15" s="89"/>
      <c r="AO15" s="89"/>
      <c r="AP15" s="89"/>
      <c r="AQ15" s="89"/>
      <c r="AR15" s="89"/>
      <c r="AS15" s="89"/>
      <c r="AT15" s="89"/>
      <c r="AU15" s="89"/>
      <c r="AV15" s="89"/>
      <c r="AW15" s="89"/>
      <c r="AX15" s="89"/>
      <c r="AY15" s="89"/>
    </row>
    <row r="16" spans="1:51">
      <c r="A16" s="476" t="s">
        <v>289</v>
      </c>
      <c r="B16" s="111">
        <v>1873.77</v>
      </c>
      <c r="C16" s="111">
        <v>2229.1799999999998</v>
      </c>
      <c r="D16" s="111">
        <v>2291.1799999999998</v>
      </c>
      <c r="E16" s="111">
        <v>2864.79</v>
      </c>
      <c r="F16" s="111">
        <v>2778.21</v>
      </c>
      <c r="G16" s="111">
        <v>2389.75</v>
      </c>
      <c r="H16" s="111">
        <v>2284.2199999999998</v>
      </c>
      <c r="I16" s="111">
        <v>2238.79</v>
      </c>
      <c r="J16" s="111">
        <v>2014.76</v>
      </c>
      <c r="K16" s="111">
        <v>2243.59</v>
      </c>
      <c r="L16" s="111">
        <v>2044.23</v>
      </c>
      <c r="M16" s="111">
        <v>1913.98</v>
      </c>
      <c r="N16" s="111">
        <v>1942.7</v>
      </c>
      <c r="O16" s="111">
        <v>1768.23</v>
      </c>
      <c r="P16" s="111">
        <v>1926.83</v>
      </c>
      <c r="Q16" s="111">
        <v>2392.46</v>
      </c>
      <c r="R16" s="111">
        <v>3149.47</v>
      </c>
      <c r="S16" s="111">
        <v>3000.71</v>
      </c>
      <c r="T16" s="111">
        <v>2984</v>
      </c>
      <c r="U16" s="111">
        <v>3249.75</v>
      </c>
      <c r="V16" s="111">
        <v>3277.14</v>
      </c>
      <c r="W16" s="111">
        <v>3432.5</v>
      </c>
      <c r="X16" s="111">
        <v>3981.16</v>
      </c>
      <c r="Y16" s="140">
        <v>4810</v>
      </c>
      <c r="Z16" s="44">
        <f>+Supuestos!F15</f>
        <v>0</v>
      </c>
      <c r="AA16" s="44">
        <f>+Supuestos!G15</f>
        <v>0</v>
      </c>
      <c r="AB16" s="44">
        <f>+Supuestos!H15</f>
        <v>0</v>
      </c>
      <c r="AC16" s="44">
        <f>+Supuestos!I15</f>
        <v>0</v>
      </c>
      <c r="AD16" s="44">
        <f>+Supuestos!J15</f>
        <v>0</v>
      </c>
      <c r="AE16" s="44">
        <f>+Supuestos!K15</f>
        <v>0</v>
      </c>
      <c r="AF16" s="44">
        <f>+Supuestos!L15</f>
        <v>0</v>
      </c>
      <c r="AG16" s="44">
        <f>+Supuestos!M15</f>
        <v>0</v>
      </c>
      <c r="AH16" s="44">
        <f>+Supuestos!N15</f>
        <v>0</v>
      </c>
      <c r="AI16" s="44">
        <f>+Supuestos!O15</f>
        <v>0</v>
      </c>
      <c r="AJ16" s="44">
        <f>+Supuestos!P15</f>
        <v>0</v>
      </c>
      <c r="AK16" s="264">
        <f>+Supuestos!Q15</f>
        <v>0</v>
      </c>
      <c r="AM16" s="89"/>
      <c r="AN16" s="89"/>
      <c r="AO16" s="89"/>
      <c r="AP16" s="89"/>
      <c r="AQ16" s="89"/>
      <c r="AR16" s="89"/>
      <c r="AS16" s="89"/>
      <c r="AT16" s="89"/>
      <c r="AU16" s="89"/>
      <c r="AV16" s="89"/>
      <c r="AW16" s="89"/>
      <c r="AX16" s="89"/>
      <c r="AY16" s="89"/>
    </row>
    <row r="17" spans="1:51">
      <c r="A17" s="476" t="s">
        <v>290</v>
      </c>
      <c r="B17" s="111">
        <v>21.506896395198783</v>
      </c>
      <c r="C17" s="111">
        <f t="shared" ref="C17:AK17" si="1">((C16/B16)-1)*100</f>
        <v>18.96764277365952</v>
      </c>
      <c r="D17" s="111">
        <f t="shared" si="1"/>
        <v>2.7812917754510558</v>
      </c>
      <c r="E17" s="111">
        <f t="shared" si="1"/>
        <v>25.035571190390993</v>
      </c>
      <c r="F17" s="111">
        <f t="shared" si="1"/>
        <v>-3.022211052119006</v>
      </c>
      <c r="G17" s="111">
        <f t="shared" si="1"/>
        <v>-13.982384340996546</v>
      </c>
      <c r="H17" s="111">
        <f t="shared" si="1"/>
        <v>-4.4159430902814156</v>
      </c>
      <c r="I17" s="111">
        <f t="shared" si="1"/>
        <v>-1.9888627190025376</v>
      </c>
      <c r="J17" s="111">
        <f t="shared" si="1"/>
        <v>-10.006744714778959</v>
      </c>
      <c r="K17" s="111">
        <f t="shared" si="1"/>
        <v>11.357680319243979</v>
      </c>
      <c r="L17" s="111">
        <f t="shared" si="1"/>
        <v>-8.885758984484692</v>
      </c>
      <c r="M17" s="111">
        <f t="shared" si="1"/>
        <v>-6.3715922376640588</v>
      </c>
      <c r="N17" s="111">
        <f t="shared" si="1"/>
        <v>1.500538145644148</v>
      </c>
      <c r="O17" s="111">
        <f t="shared" si="1"/>
        <v>-8.9807999176404039</v>
      </c>
      <c r="P17" s="111">
        <f t="shared" si="1"/>
        <v>8.9694213987999269</v>
      </c>
      <c r="Q17" s="111">
        <f t="shared" si="1"/>
        <v>24.1655984181272</v>
      </c>
      <c r="R17" s="111">
        <f t="shared" si="1"/>
        <v>31.641490348845956</v>
      </c>
      <c r="S17" s="111">
        <f t="shared" si="1"/>
        <v>-4.7233344022962527</v>
      </c>
      <c r="T17" s="111">
        <f t="shared" si="1"/>
        <v>-0.55686820785747493</v>
      </c>
      <c r="U17" s="111">
        <f t="shared" si="1"/>
        <v>8.9058310991957157</v>
      </c>
      <c r="V17" s="111">
        <f t="shared" si="1"/>
        <v>0.8428340641587706</v>
      </c>
      <c r="W17" s="111">
        <f t="shared" si="1"/>
        <v>4.7407190416033584</v>
      </c>
      <c r="X17" s="111">
        <f t="shared" si="1"/>
        <v>15.984268026219951</v>
      </c>
      <c r="Y17" s="140">
        <f t="shared" si="1"/>
        <v>20.819057762059302</v>
      </c>
      <c r="Z17" s="391">
        <f t="shared" si="1"/>
        <v>-100</v>
      </c>
      <c r="AA17" s="391" t="e">
        <f t="shared" si="1"/>
        <v>#DIV/0!</v>
      </c>
      <c r="AB17" s="391" t="e">
        <f t="shared" si="1"/>
        <v>#DIV/0!</v>
      </c>
      <c r="AC17" s="391" t="e">
        <f t="shared" si="1"/>
        <v>#DIV/0!</v>
      </c>
      <c r="AD17" s="391" t="e">
        <f t="shared" si="1"/>
        <v>#DIV/0!</v>
      </c>
      <c r="AE17" s="391" t="e">
        <f t="shared" si="1"/>
        <v>#DIV/0!</v>
      </c>
      <c r="AF17" s="391" t="e">
        <f t="shared" si="1"/>
        <v>#DIV/0!</v>
      </c>
      <c r="AG17" s="391" t="e">
        <f t="shared" si="1"/>
        <v>#DIV/0!</v>
      </c>
      <c r="AH17" s="391" t="e">
        <f t="shared" si="1"/>
        <v>#DIV/0!</v>
      </c>
      <c r="AI17" s="391" t="e">
        <f t="shared" si="1"/>
        <v>#DIV/0!</v>
      </c>
      <c r="AJ17" s="391" t="e">
        <f t="shared" si="1"/>
        <v>#DIV/0!</v>
      </c>
      <c r="AK17" s="464" t="e">
        <f t="shared" si="1"/>
        <v>#DIV/0!</v>
      </c>
      <c r="AM17" s="89"/>
      <c r="AN17" s="89"/>
      <c r="AO17" s="89"/>
      <c r="AP17" s="89"/>
      <c r="AQ17" s="89"/>
      <c r="AR17" s="89"/>
      <c r="AS17" s="89"/>
      <c r="AT17" s="89"/>
      <c r="AU17" s="89"/>
      <c r="AV17" s="89"/>
      <c r="AW17" s="89"/>
      <c r="AX17" s="89"/>
      <c r="AY17" s="89"/>
    </row>
    <row r="18" spans="1:51">
      <c r="A18" s="476" t="s">
        <v>172</v>
      </c>
      <c r="B18" s="111">
        <v>1758.57714285714</v>
      </c>
      <c r="C18" s="111">
        <v>2087.4245491803276</v>
      </c>
      <c r="D18" s="111">
        <v>2299.77</v>
      </c>
      <c r="E18" s="111">
        <v>2507.96</v>
      </c>
      <c r="F18" s="111">
        <v>2875.9185989055086</v>
      </c>
      <c r="G18" s="111">
        <v>2628.4739890710375</v>
      </c>
      <c r="H18" s="111">
        <v>2321.4947671232826</v>
      </c>
      <c r="I18" s="111">
        <v>2358.9591218964083</v>
      </c>
      <c r="J18" s="111">
        <v>2076.2397534246529</v>
      </c>
      <c r="K18" s="111">
        <v>1967.1122677595615</v>
      </c>
      <c r="L18" s="111">
        <v>2153.2976986301351</v>
      </c>
      <c r="M18" s="111">
        <v>1898.8918617829613</v>
      </c>
      <c r="N18" s="111">
        <v>1846.9670958904089</v>
      </c>
      <c r="O18" s="111">
        <v>1798.23</v>
      </c>
      <c r="P18" s="111">
        <v>1868.9</v>
      </c>
      <c r="Q18" s="111">
        <v>2000.68</v>
      </c>
      <c r="R18" s="111">
        <v>2746.47</v>
      </c>
      <c r="S18" s="111">
        <v>3053.42</v>
      </c>
      <c r="T18" s="111">
        <v>2951.15</v>
      </c>
      <c r="U18" s="111">
        <v>2956.55</v>
      </c>
      <c r="V18" s="111">
        <v>3282.39</v>
      </c>
      <c r="W18" s="111">
        <v>3694</v>
      </c>
      <c r="X18" s="111">
        <v>3747.3</v>
      </c>
      <c r="Y18" s="140">
        <v>4256</v>
      </c>
      <c r="Z18" s="44">
        <f>+Supuestos!F17</f>
        <v>0</v>
      </c>
      <c r="AA18" s="391">
        <f>+Supuestos!G17</f>
        <v>0</v>
      </c>
      <c r="AB18" s="391">
        <f>+Supuestos!H17</f>
        <v>0</v>
      </c>
      <c r="AC18" s="391">
        <f>+Supuestos!I17</f>
        <v>0</v>
      </c>
      <c r="AD18" s="391">
        <f>+Supuestos!J17</f>
        <v>0</v>
      </c>
      <c r="AE18" s="391">
        <f>+Supuestos!K17</f>
        <v>0</v>
      </c>
      <c r="AF18" s="391">
        <f>+Supuestos!L17</f>
        <v>0</v>
      </c>
      <c r="AG18" s="391">
        <f>+Supuestos!M17</f>
        <v>0</v>
      </c>
      <c r="AH18" s="391">
        <f>+Supuestos!N17</f>
        <v>0</v>
      </c>
      <c r="AI18" s="391">
        <f>+Supuestos!O17</f>
        <v>0</v>
      </c>
      <c r="AJ18" s="391">
        <f>+Supuestos!P17</f>
        <v>0</v>
      </c>
      <c r="AK18" s="464">
        <f>+Supuestos!Q17</f>
        <v>0</v>
      </c>
      <c r="AM18" s="89"/>
      <c r="AN18" s="89"/>
      <c r="AO18" s="89"/>
      <c r="AP18" s="89"/>
      <c r="AQ18" s="89"/>
      <c r="AR18" s="89"/>
      <c r="AS18" s="89"/>
      <c r="AT18" s="89"/>
      <c r="AU18" s="89"/>
      <c r="AV18" s="89"/>
      <c r="AW18" s="89"/>
      <c r="AX18" s="89"/>
      <c r="AY18" s="89"/>
    </row>
    <row r="19" spans="1:51">
      <c r="A19" s="473" t="s">
        <v>291</v>
      </c>
      <c r="B19" s="153">
        <v>23.232362509711436</v>
      </c>
      <c r="C19" s="153">
        <f t="shared" ref="C19:AK19" si="2">((C18/B18)-1)*100</f>
        <v>18.699629280346098</v>
      </c>
      <c r="D19" s="153">
        <f t="shared" si="2"/>
        <v>10.172604844714229</v>
      </c>
      <c r="E19" s="153">
        <f t="shared" si="2"/>
        <v>9.0526443948742763</v>
      </c>
      <c r="F19" s="153">
        <f t="shared" si="2"/>
        <v>14.671629487930771</v>
      </c>
      <c r="G19" s="153">
        <f t="shared" si="2"/>
        <v>-8.6040199443976348</v>
      </c>
      <c r="H19" s="153">
        <f t="shared" si="2"/>
        <v>-11.67899028958047</v>
      </c>
      <c r="I19" s="153">
        <f t="shared" si="2"/>
        <v>1.6138031109822482</v>
      </c>
      <c r="J19" s="153">
        <f t="shared" si="2"/>
        <v>-11.984920206861084</v>
      </c>
      <c r="K19" s="153">
        <f t="shared" si="2"/>
        <v>-5.2560156159755174</v>
      </c>
      <c r="L19" s="153">
        <f t="shared" si="2"/>
        <v>9.4649112774142239</v>
      </c>
      <c r="M19" s="153">
        <f t="shared" si="2"/>
        <v>-11.814708064241152</v>
      </c>
      <c r="N19" s="153">
        <f t="shared" si="2"/>
        <v>-2.734477246313427</v>
      </c>
      <c r="O19" s="153">
        <f t="shared" si="2"/>
        <v>-2.6387636249097901</v>
      </c>
      <c r="P19" s="153">
        <f t="shared" si="2"/>
        <v>3.9299755871051056</v>
      </c>
      <c r="Q19" s="153">
        <f t="shared" si="2"/>
        <v>7.0512065921130018</v>
      </c>
      <c r="R19" s="153">
        <f t="shared" si="2"/>
        <v>37.276825879201049</v>
      </c>
      <c r="S19" s="153">
        <f t="shared" si="2"/>
        <v>11.176164312736002</v>
      </c>
      <c r="T19" s="153">
        <f t="shared" si="2"/>
        <v>-3.3493590793274408</v>
      </c>
      <c r="U19" s="153">
        <f t="shared" si="2"/>
        <v>0.18297951645969146</v>
      </c>
      <c r="V19" s="153">
        <f t="shared" si="2"/>
        <v>11.020953476179995</v>
      </c>
      <c r="W19" s="153">
        <f t="shared" si="2"/>
        <v>12.539948025676416</v>
      </c>
      <c r="X19" s="153">
        <f t="shared" si="2"/>
        <v>1.4428803465078577</v>
      </c>
      <c r="Y19" s="154">
        <f t="shared" si="2"/>
        <v>13.575107410669007</v>
      </c>
      <c r="Z19" s="33">
        <f t="shared" si="2"/>
        <v>-100</v>
      </c>
      <c r="AA19" s="33" t="e">
        <f t="shared" si="2"/>
        <v>#DIV/0!</v>
      </c>
      <c r="AB19" s="33" t="e">
        <f t="shared" si="2"/>
        <v>#DIV/0!</v>
      </c>
      <c r="AC19" s="33" t="e">
        <f t="shared" si="2"/>
        <v>#DIV/0!</v>
      </c>
      <c r="AD19" s="33" t="e">
        <f t="shared" si="2"/>
        <v>#DIV/0!</v>
      </c>
      <c r="AE19" s="33" t="e">
        <f t="shared" si="2"/>
        <v>#DIV/0!</v>
      </c>
      <c r="AF19" s="33" t="e">
        <f t="shared" si="2"/>
        <v>#DIV/0!</v>
      </c>
      <c r="AG19" s="33" t="e">
        <f t="shared" si="2"/>
        <v>#DIV/0!</v>
      </c>
      <c r="AH19" s="33" t="e">
        <f t="shared" si="2"/>
        <v>#DIV/0!</v>
      </c>
      <c r="AI19" s="33" t="e">
        <f t="shared" si="2"/>
        <v>#DIV/0!</v>
      </c>
      <c r="AJ19" s="33" t="e">
        <f t="shared" si="2"/>
        <v>#DIV/0!</v>
      </c>
      <c r="AK19" s="312" t="e">
        <f t="shared" si="2"/>
        <v>#DIV/0!</v>
      </c>
      <c r="AM19" s="89"/>
      <c r="AN19" s="89"/>
      <c r="AO19" s="89"/>
      <c r="AP19" s="89"/>
      <c r="AQ19" s="89"/>
      <c r="AR19" s="89"/>
      <c r="AS19" s="89"/>
      <c r="AT19" s="89"/>
      <c r="AU19" s="89"/>
      <c r="AV19" s="89"/>
      <c r="AW19" s="89"/>
      <c r="AX19" s="89"/>
      <c r="AY19" s="89"/>
    </row>
    <row r="20" spans="1:51">
      <c r="A20" s="473" t="s">
        <v>292</v>
      </c>
      <c r="B20" s="153">
        <f>SALIDA!B70/SALIDA!B66*100</f>
        <v>42.523369196620102</v>
      </c>
      <c r="C20" s="153">
        <f>SALIDA!C70/SALIDA!C66*100</f>
        <v>42.213418957862494</v>
      </c>
      <c r="D20" s="153">
        <f>SALIDA!D70/SALIDA!D66*100</f>
        <v>44.20197102665233</v>
      </c>
      <c r="E20" s="153">
        <f>SALIDA!E70/SALIDA!E66*100</f>
        <v>45.956910201451059</v>
      </c>
      <c r="F20" s="153">
        <f>SALIDA!F70/SALIDA!F66*100</f>
        <v>45.458607983985907</v>
      </c>
      <c r="G20" s="153">
        <f>SALIDA!G70/SALIDA!G66*100</f>
        <v>40.432457212190634</v>
      </c>
      <c r="H20" s="153">
        <f>SALIDA!H70/SALIDA!H66*100</f>
        <v>32.543259197981996</v>
      </c>
      <c r="I20" s="153">
        <f>SALIDA!I70/SALIDA!I66*100</f>
        <v>33.049614890699239</v>
      </c>
      <c r="J20" s="153">
        <f>SALIDA!J70/SALIDA!J66*100</f>
        <v>30.497680018320704</v>
      </c>
      <c r="K20" s="153">
        <f>SALIDA!K70/SALIDA!K66*100</f>
        <v>31.712447492738256</v>
      </c>
      <c r="L20" s="153">
        <f>SALIDA!L70/SALIDA!L66*100</f>
        <v>29.871043211938712</v>
      </c>
      <c r="M20" s="153">
        <f>SALIDA!M70/SALIDA!M66*100</f>
        <v>28.177936283932148</v>
      </c>
      <c r="N20" s="153">
        <f>SALIDA!N70/SALIDA!N66*100</f>
        <v>28.658253312218861</v>
      </c>
      <c r="O20" s="153">
        <f>SALIDA!O70/SALIDA!O66*100</f>
        <v>26.439501535356484</v>
      </c>
      <c r="P20" s="153">
        <f>SALIDA!P70/SALIDA!P66*100</f>
        <v>27.257898015835824</v>
      </c>
      <c r="Q20" s="153">
        <f>SALIDA!Q70/SALIDA!Q66*100</f>
        <v>31.180175679279269</v>
      </c>
      <c r="R20" s="153">
        <f>SALIDA!R70/SALIDA!R66*100</f>
        <v>36.894638636061785</v>
      </c>
      <c r="S20" s="153">
        <f>SALIDA!S70/SALIDA!S66*100</f>
        <v>33.687642818897373</v>
      </c>
      <c r="T20" s="153">
        <f>SALIDA!T70/SALIDA!T66*100</f>
        <v>33.476497021102517</v>
      </c>
      <c r="U20" s="153">
        <f>SALIDA!U70/SALIDA!U66*100</f>
        <v>33.882813821926355</v>
      </c>
      <c r="V20" s="153">
        <f>SALIDA!V70/SALIDA!V66*100</f>
        <v>31.744148752387908</v>
      </c>
      <c r="W20" s="153">
        <f>SALIDA!W70/SALIDA!W66*100</f>
        <v>35.552642708863701</v>
      </c>
      <c r="X20" s="153">
        <f>SALIDA!X70/SALIDA!X66*100</f>
        <v>39.824897387333266</v>
      </c>
      <c r="Y20" s="154">
        <f>SALIDA!Y70/SALIDA!Y66*100</f>
        <v>41.636613187226985</v>
      </c>
      <c r="Z20" s="33" t="e">
        <f>SALIDA!Z70/SALIDA!Z66*100</f>
        <v>#DIV/0!</v>
      </c>
      <c r="AA20" s="33" t="e">
        <f>SALIDA!AA70/SALIDA!AA66*100</f>
        <v>#DIV/0!</v>
      </c>
      <c r="AB20" s="33" t="e">
        <f>SALIDA!AB70/SALIDA!AB66*100</f>
        <v>#DIV/0!</v>
      </c>
      <c r="AC20" s="33" t="e">
        <f>SALIDA!AC70/SALIDA!AC66*100</f>
        <v>#DIV/0!</v>
      </c>
      <c r="AD20" s="33" t="e">
        <f>SALIDA!AD70/SALIDA!AD66*100</f>
        <v>#DIV/0!</v>
      </c>
      <c r="AE20" s="33" t="e">
        <f>SALIDA!AE70/SALIDA!AE66*100</f>
        <v>#DIV/0!</v>
      </c>
      <c r="AF20" s="33" t="e">
        <f>SALIDA!AF70/SALIDA!AF66*100</f>
        <v>#DIV/0!</v>
      </c>
      <c r="AG20" s="33" t="e">
        <f>SALIDA!AG70/SALIDA!AG66*100</f>
        <v>#DIV/0!</v>
      </c>
      <c r="AH20" s="33" t="e">
        <f>SALIDA!AH70/SALIDA!AH66*100</f>
        <v>#DIV/0!</v>
      </c>
      <c r="AI20" s="33" t="e">
        <f>SALIDA!AI70/SALIDA!AI66*100</f>
        <v>#DIV/0!</v>
      </c>
      <c r="AJ20" s="33" t="e">
        <f>SALIDA!AJ70/SALIDA!AJ66*100</f>
        <v>#DIV/0!</v>
      </c>
      <c r="AK20" s="312" t="e">
        <f>SALIDA!AK70/SALIDA!AK66*100</f>
        <v>#DIV/0!</v>
      </c>
      <c r="AM20" s="89"/>
      <c r="AN20" s="89"/>
      <c r="AO20" s="89"/>
      <c r="AP20" s="89"/>
      <c r="AQ20" s="89"/>
      <c r="AR20" s="89"/>
      <c r="AS20" s="89"/>
      <c r="AT20" s="89"/>
      <c r="AU20" s="89"/>
      <c r="AV20" s="89"/>
      <c r="AW20" s="89"/>
      <c r="AX20" s="89"/>
      <c r="AY20" s="89"/>
    </row>
    <row r="21" spans="1:51">
      <c r="A21" s="473" t="s">
        <v>254</v>
      </c>
      <c r="B21" s="153">
        <v>-4.2794896475390347</v>
      </c>
      <c r="C21" s="153">
        <v>-1.4893641356065417</v>
      </c>
      <c r="D21" s="153">
        <v>-1.4091481238925774</v>
      </c>
      <c r="E21" s="153">
        <v>-1.7310970318957071</v>
      </c>
      <c r="F21" s="153">
        <v>-0.48877448213906943</v>
      </c>
      <c r="G21" s="153">
        <v>-0.93683306688121304</v>
      </c>
      <c r="H21" s="153">
        <v>-0.88562840036689061</v>
      </c>
      <c r="I21" s="153">
        <v>0.23472553640037341</v>
      </c>
      <c r="J21" s="153">
        <v>1.002239972811533</v>
      </c>
      <c r="K21" s="153">
        <v>0.90185179294328655</v>
      </c>
      <c r="L21" s="153">
        <v>-1.1096844851208436</v>
      </c>
      <c r="M21" s="153">
        <v>-1.1344431298088549</v>
      </c>
      <c r="N21" s="153">
        <v>-0.11444338688612456</v>
      </c>
      <c r="O21" s="153">
        <v>0.24172927284944751</v>
      </c>
      <c r="P21" s="153">
        <v>-3.9480641665590607E-2</v>
      </c>
      <c r="Q21" s="153">
        <v>-0.18048234968856788</v>
      </c>
      <c r="R21" s="153">
        <v>-0.45020642068323613</v>
      </c>
      <c r="S21" s="153">
        <v>-1.1048773145732005</v>
      </c>
      <c r="T21" s="153">
        <v>-0.76249404558689915</v>
      </c>
      <c r="U21" s="153">
        <v>-0.34164852666381285</v>
      </c>
      <c r="V21" s="153">
        <v>0.44826667284460664</v>
      </c>
      <c r="W21" s="153">
        <v>-4.9538958629533534</v>
      </c>
      <c r="X21" s="153">
        <v>-3.6451099520905785</v>
      </c>
      <c r="Y21" s="154">
        <v>-0.98560702258717359</v>
      </c>
      <c r="Z21" s="33">
        <f>Supuestos!F108*100</f>
        <v>0</v>
      </c>
      <c r="AA21" s="33">
        <f>Supuestos!G108*100</f>
        <v>0</v>
      </c>
      <c r="AB21" s="33">
        <f>Supuestos!H108*100</f>
        <v>0</v>
      </c>
      <c r="AC21" s="33">
        <f>Supuestos!I108*100</f>
        <v>0</v>
      </c>
      <c r="AD21" s="33">
        <f>Supuestos!J108*100</f>
        <v>0</v>
      </c>
      <c r="AE21" s="33">
        <f>Supuestos!K108*100</f>
        <v>0</v>
      </c>
      <c r="AF21" s="33">
        <f>Supuestos!L108*100</f>
        <v>0</v>
      </c>
      <c r="AG21" s="33">
        <f>Supuestos!M108*100</f>
        <v>0</v>
      </c>
      <c r="AH21" s="33">
        <f>Supuestos!N108*100</f>
        <v>0</v>
      </c>
      <c r="AI21" s="33">
        <f>Supuestos!O108*100</f>
        <v>0</v>
      </c>
      <c r="AJ21" s="33">
        <f>Supuestos!P108*100</f>
        <v>0</v>
      </c>
      <c r="AK21" s="312">
        <f>Supuestos!Q108*100</f>
        <v>0</v>
      </c>
      <c r="AM21" s="89"/>
      <c r="AN21" s="89"/>
      <c r="AO21" s="89"/>
      <c r="AP21" s="89"/>
      <c r="AQ21" s="89"/>
      <c r="AR21" s="89"/>
      <c r="AS21" s="89"/>
      <c r="AT21" s="89"/>
      <c r="AU21" s="89"/>
      <c r="AV21" s="89"/>
      <c r="AW21" s="89"/>
      <c r="AX21" s="89"/>
      <c r="AY21" s="89"/>
    </row>
    <row r="22" spans="1:51">
      <c r="A22" s="473" t="s">
        <v>169</v>
      </c>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4">
        <f>Y32</f>
        <v>9.65</v>
      </c>
      <c r="Z22" s="33">
        <f>Supuestos!F103*100</f>
        <v>0</v>
      </c>
      <c r="AA22" s="33">
        <f>Supuestos!G103*100</f>
        <v>0</v>
      </c>
      <c r="AB22" s="33">
        <f>Supuestos!H103*100</f>
        <v>0</v>
      </c>
      <c r="AC22" s="33">
        <f>Supuestos!I103*100</f>
        <v>0</v>
      </c>
      <c r="AD22" s="33">
        <f>Supuestos!J103*100</f>
        <v>0</v>
      </c>
      <c r="AE22" s="33">
        <f>Supuestos!K103*100</f>
        <v>0</v>
      </c>
      <c r="AF22" s="33">
        <f>Supuestos!L103*100</f>
        <v>0</v>
      </c>
      <c r="AG22" s="33">
        <f>Supuestos!M103*100</f>
        <v>0</v>
      </c>
      <c r="AH22" s="33">
        <f>Supuestos!N103*100</f>
        <v>0</v>
      </c>
      <c r="AI22" s="33">
        <f>Supuestos!O103*100</f>
        <v>0</v>
      </c>
      <c r="AJ22" s="33">
        <f>Supuestos!P103*100</f>
        <v>0</v>
      </c>
      <c r="AK22" s="312">
        <f>Supuestos!Q103*100</f>
        <v>0</v>
      </c>
      <c r="AM22" s="89"/>
      <c r="AN22" s="89"/>
      <c r="AO22" s="89"/>
      <c r="AP22" s="89"/>
      <c r="AQ22" s="89"/>
      <c r="AR22" s="89"/>
      <c r="AS22" s="89"/>
      <c r="AT22" s="89"/>
      <c r="AU22" s="89"/>
      <c r="AV22" s="89"/>
      <c r="AW22" s="89"/>
      <c r="AX22" s="89"/>
      <c r="AY22" s="89"/>
    </row>
    <row r="23" spans="1:51">
      <c r="A23" s="473" t="s">
        <v>170</v>
      </c>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4">
        <f>Y33</f>
        <v>4.2300000000000004</v>
      </c>
      <c r="Z23" s="33">
        <f>Supuestos!F104*100</f>
        <v>0</v>
      </c>
      <c r="AA23" s="33">
        <f>Supuestos!G104*100</f>
        <v>0</v>
      </c>
      <c r="AB23" s="33">
        <f>Supuestos!H104*100</f>
        <v>0</v>
      </c>
      <c r="AC23" s="33">
        <f>Supuestos!I104*100</f>
        <v>0</v>
      </c>
      <c r="AD23" s="33">
        <f>Supuestos!J104*100</f>
        <v>0</v>
      </c>
      <c r="AE23" s="33">
        <f>Supuestos!K104*100</f>
        <v>0</v>
      </c>
      <c r="AF23" s="33">
        <f>Supuestos!L104*100</f>
        <v>0</v>
      </c>
      <c r="AG23" s="33">
        <f>Supuestos!M104*100</f>
        <v>0</v>
      </c>
      <c r="AH23" s="33">
        <f>Supuestos!N104*100</f>
        <v>0</v>
      </c>
      <c r="AI23" s="33">
        <f>Supuestos!O104*100</f>
        <v>0</v>
      </c>
      <c r="AJ23" s="33">
        <f>Supuestos!P104*100</f>
        <v>0</v>
      </c>
      <c r="AK23" s="312">
        <f>Supuestos!Q104*100</f>
        <v>0</v>
      </c>
      <c r="AM23" s="89"/>
      <c r="AN23" s="89"/>
      <c r="AO23" s="89"/>
      <c r="AP23" s="89"/>
      <c r="AQ23" s="89"/>
      <c r="AR23" s="89"/>
      <c r="AS23" s="89"/>
      <c r="AT23" s="89"/>
      <c r="AU23" s="89"/>
      <c r="AV23" s="89"/>
      <c r="AW23" s="89"/>
      <c r="AX23" s="89"/>
      <c r="AY23" s="89"/>
    </row>
    <row r="24" spans="1:51">
      <c r="A24" s="473" t="s">
        <v>184</v>
      </c>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4"/>
      <c r="Z24" s="33">
        <f>(Z22*Supuestos!F20)+(Z23*Supuestos!F21)</f>
        <v>0</v>
      </c>
      <c r="AA24" s="33">
        <f>(AA22*Supuestos!G20)+(AA23*Supuestos!G21)</f>
        <v>0</v>
      </c>
      <c r="AB24" s="33">
        <f>(AB22*Supuestos!H20)+(AB23*Supuestos!H21)</f>
        <v>0</v>
      </c>
      <c r="AC24" s="33">
        <f>(AC22*Supuestos!I20)+(AC23*Supuestos!I21)</f>
        <v>0</v>
      </c>
      <c r="AD24" s="33">
        <f>(AD22*Supuestos!J20)+(AD23*Supuestos!J21)</f>
        <v>0</v>
      </c>
      <c r="AE24" s="33">
        <f>(AE22*Supuestos!K20)+(AE23*Supuestos!K21)</f>
        <v>0</v>
      </c>
      <c r="AF24" s="33">
        <f>(AF22*Supuestos!L20)+(AF23*Supuestos!L21)</f>
        <v>0</v>
      </c>
      <c r="AG24" s="33">
        <f>(AG22*Supuestos!M20)+(AG23*Supuestos!M21)</f>
        <v>0</v>
      </c>
      <c r="AH24" s="33">
        <f>(AH22*Supuestos!N20)+(AH23*Supuestos!N21)</f>
        <v>0</v>
      </c>
      <c r="AI24" s="33">
        <f>(AI22*Supuestos!O20)+(AI23*Supuestos!O21)</f>
        <v>0</v>
      </c>
      <c r="AJ24" s="33">
        <f>(AJ22*Supuestos!P20)+(AJ23*Supuestos!P21)</f>
        <v>0</v>
      </c>
      <c r="AK24" s="312">
        <f>(AK22*Supuestos!Q20)+(AK23*Supuestos!Q21)</f>
        <v>0</v>
      </c>
      <c r="AM24" s="89"/>
      <c r="AN24" s="89"/>
      <c r="AO24" s="89"/>
      <c r="AP24" s="89"/>
      <c r="AQ24" s="89"/>
      <c r="AR24" s="89"/>
      <c r="AS24" s="89"/>
      <c r="AT24" s="89"/>
      <c r="AU24" s="89"/>
      <c r="AV24" s="89"/>
      <c r="AW24" s="89"/>
      <c r="AX24" s="89"/>
      <c r="AY24" s="89"/>
    </row>
    <row r="25" spans="1:51">
      <c r="A25" s="524" t="s">
        <v>243</v>
      </c>
      <c r="B25" s="153"/>
      <c r="C25" s="153">
        <f>((SALIDA!C32+SALIDA!C33)/SALIDA!B24)*100</f>
        <v>15.239957966166271</v>
      </c>
      <c r="D25" s="153">
        <f>((SALIDA!D32+SALIDA!D33)/SALIDA!C24)*100</f>
        <v>10.498828857043849</v>
      </c>
      <c r="E25" s="153">
        <f>((SALIDA!E32+SALIDA!E33)/SALIDA!D24)*100</f>
        <v>9.0063472593648068</v>
      </c>
      <c r="F25" s="153">
        <f>((SALIDA!F32+SALIDA!F33)/SALIDA!E24)*100</f>
        <v>8.9298835491192428</v>
      </c>
      <c r="G25" s="153">
        <f>((SALIDA!G32+SALIDA!G33)/SALIDA!F24)*100</f>
        <v>8.995561934692379</v>
      </c>
      <c r="H25" s="153">
        <f>((SALIDA!H32+SALIDA!H33)/SALIDA!G24)*100</f>
        <v>7.5157103313400375</v>
      </c>
      <c r="I25" s="153">
        <f>((SALIDA!I32+SALIDA!I33)/SALIDA!H24)*100</f>
        <v>10.251598346494532</v>
      </c>
      <c r="J25" s="153">
        <f>((SALIDA!J32+SALIDA!J33)/SALIDA!I24)*100</f>
        <v>11.426911269813777</v>
      </c>
      <c r="K25" s="153">
        <f>((SALIDA!K32+SALIDA!K33)/SALIDA!J24)*100</f>
        <v>9.638256228779932</v>
      </c>
      <c r="L25" s="153">
        <f>((SALIDA!L32+SALIDA!L33)/SALIDA!K24)*100</f>
        <v>9.3566730631243278</v>
      </c>
      <c r="M25" s="153">
        <f>((SALIDA!M32+SALIDA!M33)/SALIDA!L24)*100</f>
        <v>8.2154353404253513</v>
      </c>
      <c r="N25" s="153">
        <f>((SALIDA!N32+SALIDA!N33)/SALIDA!M24)*100</f>
        <v>8.3492769656077694</v>
      </c>
      <c r="O25" s="153">
        <f>((SALIDA!O32+SALIDA!O33)/SALIDA!N24)*100</f>
        <v>8.2545067480948955</v>
      </c>
      <c r="P25" s="153">
        <f>((SALIDA!P32+SALIDA!P33)/SALIDA!O24)*100</f>
        <v>7.542236297774715</v>
      </c>
      <c r="Q25" s="153">
        <f>((SALIDA!Q32+SALIDA!Q33)/SALIDA!P24)*100</f>
        <v>6.6718371631994788</v>
      </c>
      <c r="R25" s="153">
        <f>((SALIDA!R32+SALIDA!R33)/SALIDA!Q24)*100</f>
        <v>6.3530657798779933</v>
      </c>
      <c r="S25" s="153">
        <f>((SALIDA!S32+SALIDA!S33)/SALIDA!R24)*100</f>
        <v>7.3383562982400115</v>
      </c>
      <c r="T25" s="153">
        <f>((SALIDA!T32+SALIDA!T33)/SALIDA!S24)*100</f>
        <v>7.0172805807095378</v>
      </c>
      <c r="U25" s="153">
        <f>((SALIDA!U32+SALIDA!U33)/SALIDA!T24)*100</f>
        <v>7.1532908653420044</v>
      </c>
      <c r="V25" s="153">
        <f>((SALIDA!V32+SALIDA!V33)/SALIDA!U24)*100</f>
        <v>6.9208863264830764</v>
      </c>
      <c r="W25" s="153">
        <f>((SALIDA!W32+SALIDA!W33)/SALIDA!V24)*100</f>
        <v>6.0174243270478565</v>
      </c>
      <c r="X25" s="153">
        <f>((SALIDA!X32+SALIDA!X33)/SALIDA!W24)*100</f>
        <v>6.0398867811585619</v>
      </c>
      <c r="Y25" s="154">
        <f>((SALIDA!Y32+SALIDA!Y33)/SALIDA!X24)*100</f>
        <v>6.2511233693279031</v>
      </c>
      <c r="Z25" s="33">
        <f>((SALIDA!Z32+SALIDA!Z33)/SALIDA!Y24)*100</f>
        <v>0</v>
      </c>
      <c r="AA25" s="33" t="e">
        <f>((SALIDA!AA32+SALIDA!AA33)/SALIDA!Z24)*100</f>
        <v>#DIV/0!</v>
      </c>
      <c r="AB25" s="33" t="e">
        <f>((SALIDA!AB32+SALIDA!AB33)/SALIDA!AA24)*100</f>
        <v>#DIV/0!</v>
      </c>
      <c r="AC25" s="33" t="e">
        <f>((SALIDA!AC32+SALIDA!AC33)/SALIDA!AB24)*100</f>
        <v>#DIV/0!</v>
      </c>
      <c r="AD25" s="33" t="e">
        <f>((SALIDA!AD32+SALIDA!AD33)/SALIDA!AC24)*100</f>
        <v>#DIV/0!</v>
      </c>
      <c r="AE25" s="33" t="e">
        <f>((SALIDA!AE32+SALIDA!AE33)/SALIDA!AD24)*100</f>
        <v>#DIV/0!</v>
      </c>
      <c r="AF25" s="33" t="e">
        <f>((SALIDA!AF32+SALIDA!AF33)/SALIDA!AE24)*100</f>
        <v>#DIV/0!</v>
      </c>
      <c r="AG25" s="33" t="e">
        <f>((SALIDA!AG32+SALIDA!AG33)/SALIDA!AF24)*100</f>
        <v>#DIV/0!</v>
      </c>
      <c r="AH25" s="33" t="e">
        <f>((SALIDA!AH32+SALIDA!AH33)/SALIDA!AG24)*100</f>
        <v>#DIV/0!</v>
      </c>
      <c r="AI25" s="33" t="e">
        <f>((SALIDA!AI32+SALIDA!AI33)/SALIDA!AH24)*100</f>
        <v>#DIV/0!</v>
      </c>
      <c r="AJ25" s="33" t="e">
        <f>((SALIDA!AJ32+SALIDA!AJ33)/SALIDA!AI24)*100</f>
        <v>#DIV/0!</v>
      </c>
      <c r="AK25" s="312" t="e">
        <f>((SALIDA!AK32+SALIDA!AK33)/SALIDA!AJ24)*100</f>
        <v>#DIV/0!</v>
      </c>
      <c r="AM25" s="89"/>
      <c r="AN25" s="89"/>
      <c r="AO25" s="89"/>
      <c r="AP25" s="89"/>
      <c r="AQ25" s="89"/>
      <c r="AR25" s="89"/>
      <c r="AS25" s="89"/>
      <c r="AT25" s="89"/>
      <c r="AU25" s="89"/>
      <c r="AV25" s="89"/>
      <c r="AW25" s="89"/>
      <c r="AX25" s="89"/>
      <c r="AY25" s="89"/>
    </row>
    <row r="26" spans="1:51">
      <c r="A26" s="524" t="s">
        <v>244</v>
      </c>
      <c r="B26" s="153"/>
      <c r="C26" s="153">
        <f>((SALIDA!C35)/SALIDA!B24)*100</f>
        <v>15.461617430943225</v>
      </c>
      <c r="D26" s="153">
        <f>((SALIDA!D35)/SALIDA!C24)*100</f>
        <v>11.13624066786188</v>
      </c>
      <c r="E26" s="153">
        <f>((SALIDA!E35)/SALIDA!D24)*100</f>
        <v>9.8914538280504196</v>
      </c>
      <c r="F26" s="153">
        <f>((SALIDA!F35)/SALIDA!E24)*100</f>
        <v>9.8757967460982119</v>
      </c>
      <c r="G26" s="153">
        <f>((SALIDA!G35)/SALIDA!F24)*100</f>
        <v>9.9266340223810641</v>
      </c>
      <c r="H26" s="153">
        <f>((SALIDA!H35)/SALIDA!G24)*100</f>
        <v>8.3664180543026898</v>
      </c>
      <c r="I26" s="153">
        <f>((SALIDA!I35)/SALIDA!H24)*100</f>
        <v>10.94263931264309</v>
      </c>
      <c r="J26" s="153">
        <f>((SALIDA!J35)/SALIDA!I24)*100</f>
        <v>12.340274079973042</v>
      </c>
      <c r="K26" s="153">
        <f>((SALIDA!K35)/SALIDA!J24)*100</f>
        <v>10.993107378029771</v>
      </c>
      <c r="L26" s="153">
        <f>((SALIDA!L35)/SALIDA!K24)*100</f>
        <v>9.8503815536483899</v>
      </c>
      <c r="M26" s="153">
        <f>((SALIDA!M35)/SALIDA!L24)*100</f>
        <v>8.7088765121933331</v>
      </c>
      <c r="N26" s="153">
        <f>((SALIDA!N35)/SALIDA!M24)*100</f>
        <v>9.1526679814100724</v>
      </c>
      <c r="O26" s="153">
        <f>((SALIDA!O35)/SALIDA!N24)*100</f>
        <v>8.8971312783105514</v>
      </c>
      <c r="P26" s="153">
        <f>((SALIDA!P35)/SALIDA!O24)*100</f>
        <v>7.886143382068159</v>
      </c>
      <c r="Q26" s="153">
        <f>((SALIDA!Q35)/SALIDA!P24)*100</f>
        <v>7.452117577172662</v>
      </c>
      <c r="R26" s="153">
        <f>((SALIDA!R35)/SALIDA!Q24)*100</f>
        <v>7.9224162277064876</v>
      </c>
      <c r="S26" s="153">
        <f>((SALIDA!S35)/SALIDA!R24)*100</f>
        <v>9.155219777679056</v>
      </c>
      <c r="T26" s="153">
        <f>((SALIDA!T35)/SALIDA!S24)*100</f>
        <v>8.2131660084793996</v>
      </c>
      <c r="U26" s="153">
        <f>((SALIDA!U35)/SALIDA!T24)*100</f>
        <v>7.7737175236158889</v>
      </c>
      <c r="V26" s="153">
        <f>((SALIDA!V35)/SALIDA!U24)*100</f>
        <v>7.6629789442131822</v>
      </c>
      <c r="W26" s="153">
        <f>((SALIDA!W35)/SALIDA!V24)*100</f>
        <v>5.7009993244509509</v>
      </c>
      <c r="X26" s="153">
        <f>((SALIDA!X35)/SALIDA!W24)*100</f>
        <v>7.7652539017543836</v>
      </c>
      <c r="Y26" s="154">
        <f>((SALIDA!Y35)/SALIDA!X24)*100</f>
        <v>12.094049147390173</v>
      </c>
      <c r="Z26" s="33">
        <f>((SALIDA!Z35)/SALIDA!Y24)*100</f>
        <v>0</v>
      </c>
      <c r="AA26" s="33" t="e">
        <f>((SALIDA!AA35)/SALIDA!Z24)*100</f>
        <v>#DIV/0!</v>
      </c>
      <c r="AB26" s="33" t="e">
        <f>((SALIDA!AB35)/SALIDA!AA24)*100</f>
        <v>#DIV/0!</v>
      </c>
      <c r="AC26" s="33" t="e">
        <f>((SALIDA!AC35)/SALIDA!AB24)*100</f>
        <v>#DIV/0!</v>
      </c>
      <c r="AD26" s="33" t="e">
        <f>((SALIDA!AD35)/SALIDA!AC24)*100</f>
        <v>#DIV/0!</v>
      </c>
      <c r="AE26" s="33" t="e">
        <f>((SALIDA!AE35)/SALIDA!AD24)*100</f>
        <v>#DIV/0!</v>
      </c>
      <c r="AF26" s="33" t="e">
        <f>((SALIDA!AF35)/SALIDA!AE24)*100</f>
        <v>#DIV/0!</v>
      </c>
      <c r="AG26" s="33" t="e">
        <f>((SALIDA!AG35)/SALIDA!AF24)*100</f>
        <v>#DIV/0!</v>
      </c>
      <c r="AH26" s="33" t="e">
        <f>((SALIDA!AH35)/SALIDA!AG24)*100</f>
        <v>#DIV/0!</v>
      </c>
      <c r="AI26" s="33" t="e">
        <f>((SALIDA!AI35)/SALIDA!AH24)*100</f>
        <v>#DIV/0!</v>
      </c>
      <c r="AJ26" s="33" t="e">
        <f>((SALIDA!AJ35)/SALIDA!AI24)*100</f>
        <v>#DIV/0!</v>
      </c>
      <c r="AK26" s="312" t="e">
        <f>((SALIDA!AK35)/SALIDA!AJ24)*100</f>
        <v>#DIV/0!</v>
      </c>
      <c r="AM26" s="89"/>
      <c r="AN26" s="89"/>
      <c r="AO26" s="89"/>
      <c r="AP26" s="89"/>
      <c r="AQ26" s="89"/>
      <c r="AR26" s="89"/>
      <c r="AS26" s="89"/>
      <c r="AT26" s="89"/>
      <c r="AU26" s="89"/>
      <c r="AV26" s="89"/>
      <c r="AW26" s="89"/>
      <c r="AX26" s="89"/>
      <c r="AY26" s="89"/>
    </row>
    <row r="27" spans="1:51">
      <c r="A27" s="473" t="s">
        <v>157</v>
      </c>
      <c r="B27" s="153"/>
      <c r="C27" s="313">
        <f>SALIDA!C31/SALIDA!B26*100</f>
        <v>10.62683617305186</v>
      </c>
      <c r="D27" s="153">
        <f>SALIDA!D31/SALIDA!C26*100</f>
        <v>10.213238281188579</v>
      </c>
      <c r="E27" s="153">
        <f>SALIDA!E31/SALIDA!D26*100</f>
        <v>9.6179367636628399</v>
      </c>
      <c r="F27" s="153">
        <f>SALIDA!F31/SALIDA!E26*100</f>
        <v>8.6070646041436252</v>
      </c>
      <c r="G27" s="153">
        <f>SALIDA!G31/SALIDA!F26*100</f>
        <v>7.8440668829392921</v>
      </c>
      <c r="H27" s="153">
        <f>SALIDA!H31/SALIDA!G26*100</f>
        <v>8.4186097380866283</v>
      </c>
      <c r="I27" s="153">
        <f>SALIDA!I31/SALIDA!H26*100</f>
        <v>8.7124721567535097</v>
      </c>
      <c r="J27" s="153">
        <f>SALIDA!J31/SALIDA!I26*100</f>
        <v>8.0049748593642036</v>
      </c>
      <c r="K27" s="153">
        <f>SALIDA!K31/SALIDA!J26*100</f>
        <v>7.8388616482908073</v>
      </c>
      <c r="L27" s="153">
        <f>SALIDA!L31/SALIDA!K26*100</f>
        <v>7.2170433888154388</v>
      </c>
      <c r="M27" s="153">
        <f>SALIDA!M31/SALIDA!L26*100</f>
        <v>6.6686576566426234</v>
      </c>
      <c r="N27" s="153">
        <f>SALIDA!N31/SALIDA!M26*100</f>
        <v>6.2912170279295463</v>
      </c>
      <c r="O27" s="153">
        <f>SALIDA!O31/SALIDA!N26*100</f>
        <v>5.7981634210511883</v>
      </c>
      <c r="P27" s="153">
        <f>SALIDA!P31/SALIDA!O26*100</f>
        <v>6.054952436778029</v>
      </c>
      <c r="Q27" s="153">
        <f>SALIDA!Q31/SALIDA!P26*100</f>
        <v>5.6285389222504181</v>
      </c>
      <c r="R27" s="153">
        <f>SALIDA!R31/SALIDA!Q26*100</f>
        <v>6.1574762973804065</v>
      </c>
      <c r="S27" s="153">
        <f>SALIDA!S31/SALIDA!R26*100</f>
        <v>4.8069976020114025</v>
      </c>
      <c r="T27" s="153">
        <f>SALIDA!T31/SALIDA!S26*100</f>
        <v>5.0228419509823095</v>
      </c>
      <c r="U27" s="153">
        <f>SALIDA!U31/SALIDA!T26*100</f>
        <v>4.9152682386121711</v>
      </c>
      <c r="V27" s="153">
        <f>SALIDA!V31/SALIDA!U26*100</f>
        <v>4.9041855888737205</v>
      </c>
      <c r="W27" s="153">
        <f>SALIDA!W31/SALIDA!V26*100</f>
        <v>5.1438225705546419</v>
      </c>
      <c r="X27" s="153">
        <f>SALIDA!X31/SALIDA!W26*100</f>
        <v>4.3509342469487011</v>
      </c>
      <c r="Y27" s="154">
        <f>SALIDA!Y31/SALIDA!X26*100</f>
        <v>3.8712280792447542</v>
      </c>
      <c r="Z27" s="33">
        <f>SALIDA!Z31/SALIDA!Y26*100</f>
        <v>0</v>
      </c>
      <c r="AA27" s="33" t="e">
        <f>SALIDA!AA31/SALIDA!Z26*100</f>
        <v>#DIV/0!</v>
      </c>
      <c r="AB27" s="33" t="e">
        <f>SALIDA!AB31/SALIDA!AA26*100</f>
        <v>#DIV/0!</v>
      </c>
      <c r="AC27" s="33" t="e">
        <f>SALIDA!AC31/SALIDA!AB26*100</f>
        <v>#DIV/0!</v>
      </c>
      <c r="AD27" s="33" t="e">
        <f>SALIDA!AD31/SALIDA!AC26*100</f>
        <v>#DIV/0!</v>
      </c>
      <c r="AE27" s="33" t="e">
        <f>SALIDA!AE31/SALIDA!AD26*100</f>
        <v>#DIV/0!</v>
      </c>
      <c r="AF27" s="33" t="e">
        <f>SALIDA!AF31/SALIDA!AE26*100</f>
        <v>#DIV/0!</v>
      </c>
      <c r="AG27" s="33" t="e">
        <f>SALIDA!AG31/SALIDA!AF26*100</f>
        <v>#DIV/0!</v>
      </c>
      <c r="AH27" s="33" t="e">
        <f>SALIDA!AH31/SALIDA!AG26*100</f>
        <v>#DIV/0!</v>
      </c>
      <c r="AI27" s="33" t="e">
        <f>SALIDA!AI31/SALIDA!AH26*100</f>
        <v>#DIV/0!</v>
      </c>
      <c r="AJ27" s="33" t="e">
        <f>SALIDA!AJ31/SALIDA!AI26*100</f>
        <v>#DIV/0!</v>
      </c>
      <c r="AK27" s="312" t="e">
        <f>SALIDA!AK31/SALIDA!AJ26*100</f>
        <v>#DIV/0!</v>
      </c>
      <c r="AM27" s="89"/>
      <c r="AN27" s="89"/>
      <c r="AO27" s="89"/>
      <c r="AP27" s="89"/>
      <c r="AQ27" s="89"/>
      <c r="AR27" s="89"/>
      <c r="AS27" s="89"/>
      <c r="AT27" s="89"/>
      <c r="AU27" s="89"/>
      <c r="AV27" s="89"/>
      <c r="AW27" s="89"/>
      <c r="AX27" s="89"/>
      <c r="AY27" s="89"/>
    </row>
    <row r="28" spans="1:51">
      <c r="A28" s="474" t="s">
        <v>158</v>
      </c>
      <c r="B28" s="315"/>
      <c r="C28" s="315">
        <f>SALIDA!C36/SALIDA!B22*100</f>
        <v>13.405705546801086</v>
      </c>
      <c r="D28" s="315">
        <f>SALIDA!D36/SALIDA!C22*100</f>
        <v>10.746609803384411</v>
      </c>
      <c r="E28" s="315">
        <f>SALIDA!E36/SALIDA!D22*100</f>
        <v>9.7705538944968744</v>
      </c>
      <c r="F28" s="315">
        <f>SALIDA!F36/SALIDA!E22*100</f>
        <v>9.2927266549231966</v>
      </c>
      <c r="G28" s="315">
        <f>SALIDA!G36/SALIDA!F22*100</f>
        <v>8.9799279904589202</v>
      </c>
      <c r="H28" s="315">
        <f>SALIDA!H36/SALIDA!G22*100</f>
        <v>8.3875204345169543</v>
      </c>
      <c r="I28" s="315">
        <f>SALIDA!I36/SALIDA!H22*100</f>
        <v>10.21687023455368</v>
      </c>
      <c r="J28" s="315">
        <f>SALIDA!J36/SALIDA!I22*100</f>
        <v>10.907474383202334</v>
      </c>
      <c r="K28" s="315">
        <f>SALIDA!K36/SALIDA!J22*100</f>
        <v>10.031135608382437</v>
      </c>
      <c r="L28" s="315">
        <f>SALIDA!L36/SALIDA!K22*100</f>
        <v>9.0152855708195041</v>
      </c>
      <c r="M28" s="315">
        <f>SALIDA!M36/SALIDA!L22*100</f>
        <v>8.0994418562336588</v>
      </c>
      <c r="N28" s="315">
        <f>SALIDA!N36/SALIDA!M22*100</f>
        <v>8.3463701549423597</v>
      </c>
      <c r="O28" s="315">
        <f>SALIDA!O36/SALIDA!N22*100</f>
        <v>8.0090212197129222</v>
      </c>
      <c r="P28" s="315">
        <f>SALIDA!P36/SALIDA!O22*100</f>
        <v>7.4019856239728652</v>
      </c>
      <c r="Q28" s="315">
        <f>SALIDA!Q36/SALIDA!P22*100</f>
        <v>6.9550483671754053</v>
      </c>
      <c r="R28" s="315">
        <f>SALIDA!R36/SALIDA!Q22*100</f>
        <v>7.3721048567970664</v>
      </c>
      <c r="S28" s="315">
        <f>SALIDA!S36/SALIDA!R22*100</f>
        <v>7.5509589188733726</v>
      </c>
      <c r="T28" s="315">
        <f>SALIDA!T36/SALIDA!S22*100</f>
        <v>7.1384210352244262</v>
      </c>
      <c r="U28" s="315">
        <f>SALIDA!U36/SALIDA!T22*100</f>
        <v>6.8168088338718933</v>
      </c>
      <c r="V28" s="315">
        <f>SALIDA!V36/SALIDA!U22*100</f>
        <v>6.7282221278918364</v>
      </c>
      <c r="W28" s="315">
        <f>SALIDA!W36/SALIDA!V22*100</f>
        <v>5.5241283068803799</v>
      </c>
      <c r="X28" s="315">
        <f>SALIDA!X36/SALIDA!W22*100</f>
        <v>6.5513730339428102</v>
      </c>
      <c r="Y28" s="316">
        <f>SALIDA!Y36/SALIDA!X22*100</f>
        <v>8.8193190946572386</v>
      </c>
      <c r="Z28" s="317">
        <f>SALIDA!Z36/SALIDA!Y22*100</f>
        <v>0</v>
      </c>
      <c r="AA28" s="317" t="e">
        <f>SALIDA!AA36/SALIDA!Z22*100</f>
        <v>#DIV/0!</v>
      </c>
      <c r="AB28" s="317" t="e">
        <f>SALIDA!AB36/SALIDA!AA22*100</f>
        <v>#DIV/0!</v>
      </c>
      <c r="AC28" s="317" t="e">
        <f>SALIDA!AC36/SALIDA!AB22*100</f>
        <v>#DIV/0!</v>
      </c>
      <c r="AD28" s="317" t="e">
        <f>SALIDA!AD36/SALIDA!AC22*100</f>
        <v>#DIV/0!</v>
      </c>
      <c r="AE28" s="317" t="e">
        <f>SALIDA!AE36/SALIDA!AD22*100</f>
        <v>#DIV/0!</v>
      </c>
      <c r="AF28" s="317" t="e">
        <f>SALIDA!AF36/SALIDA!AE22*100</f>
        <v>#DIV/0!</v>
      </c>
      <c r="AG28" s="317" t="e">
        <f>SALIDA!AG36/SALIDA!AF22*100</f>
        <v>#DIV/0!</v>
      </c>
      <c r="AH28" s="317" t="e">
        <f>SALIDA!AH36/SALIDA!AG22*100</f>
        <v>#DIV/0!</v>
      </c>
      <c r="AI28" s="317" t="e">
        <f>SALIDA!AI36/SALIDA!AH22*100</f>
        <v>#DIV/0!</v>
      </c>
      <c r="AJ28" s="317" t="e">
        <f>SALIDA!AJ36/SALIDA!AI22*100</f>
        <v>#DIV/0!</v>
      </c>
      <c r="AK28" s="318" t="e">
        <f>SALIDA!AK36/SALIDA!AJ22*100</f>
        <v>#DIV/0!</v>
      </c>
      <c r="AM28" s="89"/>
      <c r="AN28" s="89"/>
      <c r="AO28" s="89"/>
      <c r="AP28" s="89"/>
      <c r="AQ28" s="89"/>
      <c r="AR28" s="89"/>
      <c r="AS28" s="89"/>
      <c r="AT28" s="89"/>
      <c r="AU28" s="89"/>
      <c r="AV28" s="89"/>
      <c r="AW28" s="89"/>
      <c r="AX28" s="89"/>
      <c r="AY28" s="89"/>
    </row>
    <row r="29" spans="1:51">
      <c r="Z29" s="525"/>
      <c r="AA29" s="525"/>
      <c r="AB29" s="525"/>
      <c r="AC29" s="525"/>
      <c r="AD29" s="525"/>
      <c r="AE29" s="525"/>
      <c r="AF29" s="525"/>
      <c r="AG29" s="525"/>
      <c r="AH29" s="525"/>
      <c r="AI29" s="525"/>
      <c r="AJ29" s="525"/>
      <c r="AK29" s="525"/>
      <c r="AM29" s="89"/>
      <c r="AN29" s="89"/>
      <c r="AO29" s="89"/>
      <c r="AP29" s="89"/>
      <c r="AQ29" s="89"/>
      <c r="AR29" s="89"/>
      <c r="AS29" s="89"/>
      <c r="AT29" s="89"/>
      <c r="AU29" s="89"/>
      <c r="AV29" s="89"/>
      <c r="AW29" s="89"/>
      <c r="AX29" s="89"/>
      <c r="AY29" s="89"/>
    </row>
    <row r="30" spans="1:51">
      <c r="A30" s="132" t="s">
        <v>340</v>
      </c>
      <c r="B30" s="133"/>
      <c r="C30" s="131"/>
      <c r="D30" s="131"/>
      <c r="E30" s="136"/>
      <c r="F30" s="136"/>
      <c r="G30" s="136"/>
      <c r="H30" s="136"/>
      <c r="I30" s="136"/>
      <c r="Y30" s="232"/>
      <c r="Z30" s="526"/>
      <c r="AA30" s="525"/>
      <c r="AB30" s="525"/>
      <c r="AC30" s="525"/>
      <c r="AD30" s="525"/>
      <c r="AE30" s="525"/>
      <c r="AF30" s="525"/>
      <c r="AG30" s="525"/>
      <c r="AH30" s="525"/>
      <c r="AI30" s="525"/>
      <c r="AJ30" s="525"/>
      <c r="AK30" s="525"/>
      <c r="AM30" s="89"/>
      <c r="AN30" s="89"/>
      <c r="AO30" s="89"/>
      <c r="AP30" s="89"/>
      <c r="AQ30" s="89"/>
      <c r="AR30" s="89"/>
      <c r="AS30" s="89"/>
      <c r="AT30" s="89"/>
      <c r="AU30" s="89"/>
      <c r="AV30" s="89"/>
      <c r="AW30" s="89"/>
      <c r="AX30" s="89"/>
      <c r="AY30" s="89"/>
    </row>
    <row r="31" spans="1:51">
      <c r="A31" s="309" t="s">
        <v>168</v>
      </c>
      <c r="B31" s="319">
        <v>1999</v>
      </c>
      <c r="C31" s="319">
        <v>2000</v>
      </c>
      <c r="D31" s="319">
        <v>2001</v>
      </c>
      <c r="E31" s="319">
        <v>2002</v>
      </c>
      <c r="F31" s="319">
        <v>2003</v>
      </c>
      <c r="G31" s="319">
        <v>2004</v>
      </c>
      <c r="H31" s="319">
        <v>2005</v>
      </c>
      <c r="I31" s="319">
        <v>2006</v>
      </c>
      <c r="J31" s="319">
        <v>2007</v>
      </c>
      <c r="K31" s="319">
        <v>2008</v>
      </c>
      <c r="L31" s="319">
        <v>2009</v>
      </c>
      <c r="M31" s="319">
        <v>2010</v>
      </c>
      <c r="N31" s="319">
        <v>2011</v>
      </c>
      <c r="O31" s="319">
        <v>2012</v>
      </c>
      <c r="P31" s="319">
        <v>2013</v>
      </c>
      <c r="Q31" s="319">
        <v>2014</v>
      </c>
      <c r="R31" s="319">
        <v>2015</v>
      </c>
      <c r="S31" s="319">
        <v>2016</v>
      </c>
      <c r="T31" s="319">
        <v>2017</v>
      </c>
      <c r="U31" s="319">
        <v>2018</v>
      </c>
      <c r="V31" s="319">
        <v>2019</v>
      </c>
      <c r="W31" s="319">
        <v>2020</v>
      </c>
      <c r="X31" s="319">
        <v>2021</v>
      </c>
      <c r="Y31" s="319">
        <v>2022</v>
      </c>
      <c r="Z31" s="319">
        <v>2023</v>
      </c>
      <c r="AA31" s="319">
        <v>2024</v>
      </c>
      <c r="AB31" s="319">
        <v>2025</v>
      </c>
      <c r="AC31" s="319">
        <v>2026</v>
      </c>
      <c r="AD31" s="319">
        <v>2027</v>
      </c>
      <c r="AE31" s="319">
        <v>2028</v>
      </c>
      <c r="AF31" s="319">
        <v>2029</v>
      </c>
      <c r="AG31" s="319">
        <v>2030</v>
      </c>
      <c r="AH31" s="319">
        <v>2031</v>
      </c>
      <c r="AI31" s="319">
        <v>2032</v>
      </c>
      <c r="AJ31" s="319">
        <v>2033</v>
      </c>
      <c r="AK31" s="320">
        <v>2034</v>
      </c>
      <c r="AM31" s="89"/>
      <c r="AN31" s="89"/>
      <c r="AO31" s="89"/>
      <c r="AP31" s="89"/>
      <c r="AQ31" s="89"/>
      <c r="AR31" s="89"/>
      <c r="AS31" s="89"/>
      <c r="AT31" s="89"/>
      <c r="AU31" s="89"/>
      <c r="AV31" s="89"/>
      <c r="AW31" s="89"/>
      <c r="AX31" s="89"/>
      <c r="AY31" s="89"/>
    </row>
    <row r="32" spans="1:51">
      <c r="A32" s="311" t="s">
        <v>246</v>
      </c>
      <c r="B32" s="145"/>
      <c r="C32" s="145"/>
      <c r="D32" s="145"/>
      <c r="E32" s="153">
        <v>12.291591551997881</v>
      </c>
      <c r="F32" s="153">
        <v>13.584888961592931</v>
      </c>
      <c r="G32" s="153">
        <v>12.024921522464126</v>
      </c>
      <c r="H32" s="153">
        <v>11.688620594447857</v>
      </c>
      <c r="I32" s="153">
        <v>11.464893810830784</v>
      </c>
      <c r="J32" s="153">
        <v>11.211168519435184</v>
      </c>
      <c r="K32" s="153">
        <v>10.798210772061696</v>
      </c>
      <c r="L32" s="153">
        <v>9.8100682557695293</v>
      </c>
      <c r="M32" s="153">
        <v>8.6058235655693043</v>
      </c>
      <c r="N32" s="153">
        <v>8.8443583594185409</v>
      </c>
      <c r="O32" s="153">
        <v>8.8155810589497001</v>
      </c>
      <c r="P32" s="153">
        <v>8.086803031186939</v>
      </c>
      <c r="Q32" s="153">
        <v>7.9042645983919035</v>
      </c>
      <c r="R32" s="153">
        <v>8.260427633058482</v>
      </c>
      <c r="S32" s="153">
        <v>9.2940439515709947</v>
      </c>
      <c r="T32" s="153">
        <v>8.1506334766633231</v>
      </c>
      <c r="U32" s="153">
        <v>7.662767359881685</v>
      </c>
      <c r="V32" s="153">
        <v>7.6237035019652062</v>
      </c>
      <c r="W32" s="153">
        <v>7.0602430157959626</v>
      </c>
      <c r="X32" s="153">
        <v>7.1469813176470396</v>
      </c>
      <c r="Y32" s="154">
        <f>9.65</f>
        <v>9.65</v>
      </c>
      <c r="Z32" s="527"/>
      <c r="AA32" s="527"/>
      <c r="AB32" s="527"/>
      <c r="AC32" s="527"/>
      <c r="AD32" s="527"/>
      <c r="AE32" s="527"/>
      <c r="AF32" s="527"/>
      <c r="AG32" s="527"/>
      <c r="AH32" s="527"/>
      <c r="AI32" s="527"/>
      <c r="AJ32" s="527"/>
      <c r="AK32" s="528"/>
      <c r="AM32" s="89"/>
      <c r="AN32" s="89"/>
      <c r="AO32" s="89"/>
      <c r="AP32" s="89"/>
      <c r="AQ32" s="89"/>
      <c r="AR32" s="89"/>
      <c r="AS32" s="89"/>
      <c r="AT32" s="89"/>
      <c r="AU32" s="89"/>
      <c r="AV32" s="89"/>
      <c r="AW32" s="89"/>
      <c r="AX32" s="89"/>
      <c r="AY32" s="89"/>
    </row>
    <row r="33" spans="1:51">
      <c r="A33" s="314" t="s">
        <v>247</v>
      </c>
      <c r="B33" s="321"/>
      <c r="C33" s="321"/>
      <c r="D33" s="321"/>
      <c r="E33" s="321">
        <v>9.8731380705652398</v>
      </c>
      <c r="F33" s="321">
        <v>8.7385716535164413</v>
      </c>
      <c r="G33" s="321">
        <v>8.6506545051626684</v>
      </c>
      <c r="H33" s="321">
        <v>7.9595656500165841</v>
      </c>
      <c r="I33" s="321">
        <v>7.6872266464385479</v>
      </c>
      <c r="J33" s="321">
        <v>7.2439102299643583</v>
      </c>
      <c r="K33" s="321">
        <v>6.6501125899619495</v>
      </c>
      <c r="L33" s="321">
        <v>6.0673414232479743</v>
      </c>
      <c r="M33" s="321">
        <v>5.6956356180200052</v>
      </c>
      <c r="N33" s="321">
        <v>5.3713266451558379</v>
      </c>
      <c r="O33" s="321">
        <v>5.1098026507261149</v>
      </c>
      <c r="P33" s="321">
        <v>5.1980443632671571</v>
      </c>
      <c r="Q33" s="321">
        <v>5.9664970693137223</v>
      </c>
      <c r="R33" s="321">
        <v>5.5472781935372613</v>
      </c>
      <c r="S33" s="321">
        <v>5.1984309261764174</v>
      </c>
      <c r="T33" s="321">
        <v>5.1617233429765106</v>
      </c>
      <c r="U33" s="321">
        <v>5.5149195531755453</v>
      </c>
      <c r="V33" s="321">
        <v>4.955019316880132</v>
      </c>
      <c r="W33" s="321">
        <v>3.9851204772163777</v>
      </c>
      <c r="X33" s="321">
        <v>3.6516969561891202</v>
      </c>
      <c r="Y33" s="322">
        <f>4.23</f>
        <v>4.2300000000000004</v>
      </c>
      <c r="Z33" s="529"/>
      <c r="AA33" s="529"/>
      <c r="AB33" s="529"/>
      <c r="AC33" s="529"/>
      <c r="AD33" s="529"/>
      <c r="AE33" s="529"/>
      <c r="AF33" s="529"/>
      <c r="AG33" s="529"/>
      <c r="AH33" s="529"/>
      <c r="AI33" s="529"/>
      <c r="AJ33" s="529"/>
      <c r="AK33" s="530"/>
      <c r="AM33" s="89"/>
      <c r="AN33" s="89"/>
      <c r="AO33" s="89"/>
      <c r="AP33" s="89"/>
      <c r="AQ33" s="89"/>
      <c r="AR33" s="89"/>
      <c r="AS33" s="89"/>
      <c r="AT33" s="89"/>
      <c r="AU33" s="89"/>
      <c r="AV33" s="89"/>
      <c r="AW33" s="89"/>
      <c r="AX33" s="89"/>
      <c r="AY33" s="89"/>
    </row>
    <row r="34" spans="1:51">
      <c r="A34" s="509" t="s">
        <v>245</v>
      </c>
      <c r="Q34" s="131"/>
      <c r="R34" s="131"/>
      <c r="S34" s="136"/>
      <c r="T34" s="136"/>
      <c r="X34" s="123"/>
      <c r="Y34" s="351"/>
      <c r="Z34" s="351"/>
      <c r="AA34" s="123"/>
      <c r="AB34" s="123"/>
      <c r="AC34" s="123"/>
      <c r="AD34" s="123"/>
      <c r="AE34" s="123"/>
      <c r="AF34" s="123"/>
      <c r="AG34" s="123"/>
      <c r="AH34" s="123"/>
      <c r="AI34" s="123"/>
      <c r="AJ34" s="123"/>
      <c r="AK34" s="123"/>
      <c r="AM34" s="89"/>
      <c r="AN34" s="89"/>
      <c r="AO34" s="89"/>
      <c r="AP34" s="89"/>
      <c r="AQ34" s="89"/>
      <c r="AR34" s="89"/>
      <c r="AS34" s="89"/>
      <c r="AT34" s="89"/>
      <c r="AU34" s="89"/>
      <c r="AV34" s="89"/>
      <c r="AW34" s="89"/>
      <c r="AX34" s="89"/>
      <c r="AY34" s="89"/>
    </row>
    <row r="35" spans="1:51">
      <c r="A35" s="130"/>
      <c r="B35" s="133"/>
      <c r="C35" s="130"/>
      <c r="D35" s="130"/>
      <c r="E35" s="123"/>
      <c r="F35" s="123"/>
      <c r="G35" s="123"/>
      <c r="H35" s="123"/>
      <c r="I35" s="123"/>
      <c r="J35" s="123"/>
      <c r="K35" s="123"/>
      <c r="L35" s="123"/>
      <c r="M35" s="123"/>
      <c r="N35" s="123"/>
      <c r="O35" s="123"/>
      <c r="P35" s="123"/>
      <c r="Q35" s="123"/>
      <c r="R35" s="123"/>
      <c r="AM35" s="89"/>
      <c r="AN35" s="89"/>
      <c r="AO35" s="89"/>
      <c r="AP35" s="89"/>
      <c r="AQ35" s="89"/>
      <c r="AR35" s="89"/>
      <c r="AS35" s="89"/>
      <c r="AT35" s="89"/>
      <c r="AU35" s="89"/>
      <c r="AV35" s="89"/>
      <c r="AW35" s="89"/>
      <c r="AX35" s="89"/>
      <c r="AY35" s="89"/>
    </row>
    <row r="36" spans="1:51">
      <c r="A36" s="475" t="s">
        <v>249</v>
      </c>
      <c r="B36" s="319">
        <v>1999</v>
      </c>
      <c r="C36" s="319">
        <v>2000</v>
      </c>
      <c r="D36" s="319">
        <v>2001</v>
      </c>
      <c r="E36" s="319">
        <v>2002</v>
      </c>
      <c r="F36" s="319">
        <v>2003</v>
      </c>
      <c r="G36" s="319">
        <v>2004</v>
      </c>
      <c r="H36" s="319">
        <v>2005</v>
      </c>
      <c r="I36" s="319">
        <v>2006</v>
      </c>
      <c r="J36" s="319">
        <v>2007</v>
      </c>
      <c r="K36" s="319">
        <v>2008</v>
      </c>
      <c r="L36" s="319">
        <v>2009</v>
      </c>
      <c r="M36" s="319">
        <v>2010</v>
      </c>
      <c r="N36" s="319">
        <v>2011</v>
      </c>
      <c r="O36" s="319">
        <v>2012</v>
      </c>
      <c r="P36" s="319">
        <v>2013</v>
      </c>
      <c r="Q36" s="319">
        <v>2014</v>
      </c>
      <c r="R36" s="319">
        <v>2015</v>
      </c>
      <c r="S36" s="319">
        <v>2016</v>
      </c>
      <c r="T36" s="319">
        <v>2017</v>
      </c>
      <c r="U36" s="319">
        <v>2018</v>
      </c>
      <c r="V36" s="319">
        <v>2019</v>
      </c>
      <c r="W36" s="319">
        <v>2020</v>
      </c>
      <c r="X36" s="319">
        <v>2021</v>
      </c>
      <c r="Y36" s="319">
        <v>2022</v>
      </c>
      <c r="Z36" s="319">
        <v>2023</v>
      </c>
      <c r="AA36" s="319">
        <v>2024</v>
      </c>
      <c r="AB36" s="319">
        <v>2025</v>
      </c>
      <c r="AC36" s="319">
        <v>2026</v>
      </c>
      <c r="AD36" s="319">
        <v>2027</v>
      </c>
      <c r="AE36" s="319">
        <v>2028</v>
      </c>
      <c r="AF36" s="319">
        <v>2029</v>
      </c>
      <c r="AG36" s="319">
        <v>2030</v>
      </c>
      <c r="AH36" s="319">
        <v>2031</v>
      </c>
      <c r="AI36" s="319">
        <v>2032</v>
      </c>
      <c r="AJ36" s="319">
        <v>2033</v>
      </c>
      <c r="AK36" s="320">
        <v>2034</v>
      </c>
      <c r="AM36" s="89"/>
      <c r="AN36" s="89"/>
      <c r="AO36" s="89"/>
      <c r="AP36" s="89"/>
      <c r="AQ36" s="89"/>
      <c r="AR36" s="89"/>
      <c r="AS36" s="89"/>
      <c r="AT36" s="89"/>
      <c r="AU36" s="89"/>
      <c r="AV36" s="89"/>
      <c r="AW36" s="89"/>
      <c r="AX36" s="89"/>
      <c r="AY36" s="89"/>
    </row>
    <row r="37" spans="1:51">
      <c r="A37" s="477" t="s">
        <v>336</v>
      </c>
      <c r="B37" s="343"/>
      <c r="C37" s="344">
        <f>(SALIDA!C66-SALIDA!B66)/100</f>
        <v>3.0367481876323481E-2</v>
      </c>
      <c r="D37" s="344">
        <f>(SALIDA!D66-SALIDA!C66)/100</f>
        <v>2.9047405058415805E-2</v>
      </c>
      <c r="E37" s="344">
        <f>(SALIDA!E66-SALIDA!D66)/100</f>
        <v>7.4084117154815984E-2</v>
      </c>
      <c r="F37" s="344">
        <f>(SALIDA!F66-SALIDA!E66)/100</f>
        <v>-1.1138388413385129E-2</v>
      </c>
      <c r="G37" s="344">
        <f>(SALIDA!G66-SALIDA!F66)/100</f>
        <v>-3.7350386718690703E-2</v>
      </c>
      <c r="H37" s="344">
        <f>(SALIDA!H66-SALIDA!G66)/100</f>
        <v>-1.0028581166446884E-2</v>
      </c>
      <c r="I37" s="344">
        <f>(SALIDA!I66-SALIDA!H66)/100</f>
        <v>-2.2233594523132609E-2</v>
      </c>
      <c r="J37" s="344">
        <f>(SALIDA!J66-SALIDA!I66)/100</f>
        <v>-2.4724267108921508E-2</v>
      </c>
      <c r="K37" s="344">
        <f>(SALIDA!K66-SALIDA!J66)/100</f>
        <v>-4.8605674201925809E-3</v>
      </c>
      <c r="L37" s="344">
        <f>(SALIDA!L66-SALIDA!K66)/100</f>
        <v>1.2858862755331444E-2</v>
      </c>
      <c r="M37" s="344">
        <f>(SALIDA!M66-SALIDA!L66)/100</f>
        <v>4.4609058595593606E-3</v>
      </c>
      <c r="N37" s="344">
        <f>(SALIDA!N66-SALIDA!M66)/100</f>
        <v>-2.5979571780207492E-2</v>
      </c>
      <c r="O37" s="344">
        <f>(SALIDA!O66-SALIDA!N66)/100</f>
        <v>-1.2268654831984875E-2</v>
      </c>
      <c r="P37" s="344">
        <f>(SALIDA!P66-SALIDA!O66)/100</f>
        <v>1.019289533297588E-2</v>
      </c>
      <c r="Q37" s="344">
        <f>(SALIDA!Q66-SALIDA!P66)/100</f>
        <v>2.5213114848785734E-2</v>
      </c>
      <c r="R37" s="344">
        <f>(SALIDA!R66-SALIDA!Q66)/100</f>
        <v>5.0634843283453038E-2</v>
      </c>
      <c r="S37" s="344">
        <f>(SALIDA!S66-SALIDA!R66)/100</f>
        <v>1.3946357146473574E-2</v>
      </c>
      <c r="T37" s="344">
        <f>(SALIDA!T66-SALIDA!S66)/100</f>
        <v>6.1853656455930659E-3</v>
      </c>
      <c r="U37" s="344">
        <f>(SALIDA!U66-SALIDA!T66)/100</f>
        <v>2.558171269463699E-2</v>
      </c>
      <c r="V37" s="344">
        <f>(SALIDA!V66-SALIDA!U66)/100</f>
        <v>2.0456020054294369E-2</v>
      </c>
      <c r="W37" s="344">
        <f>(SALIDA!W66-SALIDA!V66)/100</f>
        <v>0.12312107693976593</v>
      </c>
      <c r="X37" s="344">
        <f>(SALIDA!X66-SALIDA!W66)/100</f>
        <v>-6.46327985702591E-3</v>
      </c>
      <c r="Y37" s="345">
        <f>(SALIDA!Y66-SALIDA!X66)/100</f>
        <v>-2.1116372195044732E-2</v>
      </c>
      <c r="Z37" s="346" t="e">
        <f>(SALIDA!Z66-SALIDA!Y66)/100</f>
        <v>#DIV/0!</v>
      </c>
      <c r="AA37" s="346" t="e">
        <f>(SALIDA!AA66-SALIDA!Z66)/100</f>
        <v>#DIV/0!</v>
      </c>
      <c r="AB37" s="346" t="e">
        <f>(SALIDA!AB66-SALIDA!AA66)/100</f>
        <v>#DIV/0!</v>
      </c>
      <c r="AC37" s="346" t="e">
        <f>(SALIDA!AC66-SALIDA!AB66)/100</f>
        <v>#DIV/0!</v>
      </c>
      <c r="AD37" s="346" t="e">
        <f>(SALIDA!AD66-SALIDA!AC66)/100</f>
        <v>#DIV/0!</v>
      </c>
      <c r="AE37" s="346" t="e">
        <f>(SALIDA!AE66-SALIDA!AD66)/100</f>
        <v>#DIV/0!</v>
      </c>
      <c r="AF37" s="346" t="e">
        <f>(SALIDA!AF66-SALIDA!AE66)/100</f>
        <v>#DIV/0!</v>
      </c>
      <c r="AG37" s="346" t="e">
        <f>(SALIDA!AG66-SALIDA!AF66)/100</f>
        <v>#DIV/0!</v>
      </c>
      <c r="AH37" s="346" t="e">
        <f>(SALIDA!AH66-SALIDA!AG66)/100</f>
        <v>#DIV/0!</v>
      </c>
      <c r="AI37" s="346" t="e">
        <f>(SALIDA!AI66-SALIDA!AH66)/100</f>
        <v>#DIV/0!</v>
      </c>
      <c r="AJ37" s="346" t="e">
        <f>(SALIDA!AJ66-SALIDA!AI66)/100</f>
        <v>#DIV/0!</v>
      </c>
      <c r="AK37" s="347" t="e">
        <f>(SALIDA!AK66-SALIDA!AJ66)/100</f>
        <v>#DIV/0!</v>
      </c>
      <c r="AL37" s="87"/>
      <c r="AM37" s="446"/>
      <c r="AN37" s="446"/>
      <c r="AO37" s="446"/>
      <c r="AP37" s="446"/>
      <c r="AQ37" s="446"/>
      <c r="AR37" s="446"/>
      <c r="AS37" s="446"/>
      <c r="AT37" s="446"/>
      <c r="AU37" s="446"/>
      <c r="AV37" s="446"/>
      <c r="AW37" s="446"/>
      <c r="AX37" s="446"/>
      <c r="AY37" s="446"/>
    </row>
    <row r="38" spans="1:51">
      <c r="A38" s="478" t="s">
        <v>251</v>
      </c>
      <c r="B38" s="145"/>
      <c r="C38" s="348"/>
      <c r="D38" s="348"/>
      <c r="E38" s="348"/>
      <c r="F38" s="348"/>
      <c r="G38" s="348"/>
      <c r="H38" s="348"/>
      <c r="I38" s="348"/>
      <c r="J38" s="348"/>
      <c r="K38" s="348"/>
      <c r="L38" s="348"/>
      <c r="M38" s="348"/>
      <c r="N38" s="348"/>
      <c r="O38" s="348"/>
      <c r="P38" s="348"/>
      <c r="Q38" s="348"/>
      <c r="R38" s="348"/>
      <c r="S38" s="348"/>
      <c r="T38" s="348"/>
      <c r="U38" s="348"/>
      <c r="V38" s="348"/>
      <c r="W38" s="348"/>
      <c r="X38" s="348"/>
      <c r="Y38" s="154"/>
      <c r="Z38" s="33"/>
      <c r="AA38" s="33"/>
      <c r="AB38" s="33"/>
      <c r="AC38" s="33"/>
      <c r="AD38" s="33"/>
      <c r="AE38" s="33"/>
      <c r="AF38" s="33"/>
      <c r="AG38" s="33"/>
      <c r="AH38" s="33"/>
      <c r="AI38" s="33"/>
      <c r="AJ38" s="33"/>
      <c r="AK38" s="312"/>
      <c r="AM38" s="446"/>
      <c r="AN38" s="446"/>
      <c r="AO38" s="446"/>
      <c r="AP38" s="446"/>
      <c r="AQ38" s="446"/>
      <c r="AR38" s="446"/>
      <c r="AS38" s="446"/>
      <c r="AT38" s="446"/>
      <c r="AU38" s="446"/>
      <c r="AV38" s="446"/>
      <c r="AW38" s="446"/>
      <c r="AX38" s="446"/>
      <c r="AY38" s="446"/>
    </row>
    <row r="39" spans="1:51">
      <c r="A39" s="479" t="s">
        <v>28</v>
      </c>
      <c r="B39" s="145"/>
      <c r="C39" s="348">
        <f>SALIDA!B66/100*(('Dinámica de la deuda'!C28/100)/((1+'Dinámica de la deuda'!C14/100)*(1+'Dinámica de la deuda'!C15/100)))</f>
        <v>4.0220552180924692E-2</v>
      </c>
      <c r="D39" s="348">
        <f>SALIDA!C66/100*(('Dinámica de la deuda'!D28/100)/((1+'Dinámica de la deuda'!D14/100)*(1+'Dinámica de la deuda'!D15/100)))</f>
        <v>3.4884419140284652E-2</v>
      </c>
      <c r="E39" s="348">
        <f>SALIDA!D66/100*(('Dinámica de la deuda'!E28/100)/((1+'Dinámica de la deuda'!E14/100)*(1+'Dinámica de la deuda'!E15/100)))</f>
        <v>3.4817770715858863E-2</v>
      </c>
      <c r="F39" s="348">
        <f>SALIDA!E66/100*(('Dinámica de la deuda'!F28/100)/((1+'Dinámica de la deuda'!F14/100)*(1+'Dinámica de la deuda'!F15/100)))</f>
        <v>3.8635853265282814E-2</v>
      </c>
      <c r="G39" s="348">
        <f>SALIDA!F66/100*(('Dinámica de la deuda'!G28/100)/((1+'Dinámica de la deuda'!G14/100)*(1+'Dinámica de la deuda'!G15/100)))</f>
        <v>3.6889463757557361E-2</v>
      </c>
      <c r="H39" s="348">
        <f>SALIDA!G66/100*(('Dinámica de la deuda'!H28/100)/((1+'Dinámica de la deuda'!H14/100)*(1+'Dinámica de la deuda'!H15/100)))</f>
        <v>3.1636675900720973E-2</v>
      </c>
      <c r="I39" s="348">
        <f>SALIDA!H66/100*(('Dinámica de la deuda'!I28/100)/((1+'Dinámica de la deuda'!I14/100)*(1+'Dinámica de la deuda'!I15/100)))</f>
        <v>3.7059814206696462E-2</v>
      </c>
      <c r="J39" s="348">
        <f>SALIDA!I66/100*(('Dinámica de la deuda'!J28/100)/((1+'Dinámica de la deuda'!J14/100)*(1+'Dinámica de la deuda'!J15/100)))</f>
        <v>3.6952038922549946E-2</v>
      </c>
      <c r="K39" s="348">
        <f>SALIDA!J66/100*(('Dinámica de la deuda'!K28/100)/((1+'Dinámica de la deuda'!K14/100)*(1+'Dinámica de la deuda'!K15/100)))</f>
        <v>3.2243999238009122E-2</v>
      </c>
      <c r="L39" s="348">
        <f>SALIDA!K66/100*(('Dinámica de la deuda'!L28/100)/((1+'Dinámica de la deuda'!L14/100)*(1+'Dinámica de la deuda'!L15/100)))</f>
        <v>3.0813880956873981E-2</v>
      </c>
      <c r="M39" s="348">
        <f>SALIDA!L66/100*(('Dinámica de la deuda'!M28/100)/((1+'Dinámica de la deuda'!M14/100)*(1+'Dinámica de la deuda'!M15/100)))</f>
        <v>2.7457079882268979E-2</v>
      </c>
      <c r="N39" s="348">
        <f>SALIDA!M66/100*(('Dinámica de la deuda'!N28/100)/((1+'Dinámica de la deuda'!N14/100)*(1+'Dinámica de la deuda'!N15/100)))</f>
        <v>2.7832724281659588E-2</v>
      </c>
      <c r="O39" s="348">
        <f>SALIDA!N66/100*(('Dinámica de la deuda'!O28/100)/((1+'Dinámica de la deuda'!O14/100)*(1+'Dinámica de la deuda'!O15/100)))</f>
        <v>2.5878477026723645E-2</v>
      </c>
      <c r="P39" s="348">
        <f>SALIDA!O66/100*(('Dinámica de la deuda'!P28/100)/((1+'Dinámica de la deuda'!P14/100)*(1+'Dinámica de la deuda'!P15/100)))</f>
        <v>2.2907803503369354E-2</v>
      </c>
      <c r="Q39" s="348">
        <f>SALIDA!P66/100*(('Dinámica de la deuda'!Q28/100)/((1+'Dinámica de la deuda'!Q14/100)*(1+'Dinámica de la deuda'!Q15/100)))</f>
        <v>2.1950527829797315E-2</v>
      </c>
      <c r="R39" s="348">
        <f>SALIDA!Q66/100*(('Dinámica de la deuda'!R28/100)/((1+'Dinámica de la deuda'!R14/100)*(1+'Dinámica de la deuda'!R15/100)))</f>
        <v>2.4618535192651319E-2</v>
      </c>
      <c r="S39" s="348">
        <f>SALIDA!R66/100*(('Dinámica de la deuda'!S28/100)/((1+'Dinámica de la deuda'!S14/100)*(1+'Dinámica de la deuda'!S15/100)))</f>
        <v>2.9217211974206223E-2</v>
      </c>
      <c r="T39" s="348">
        <f>SALIDA!S66/100*(('Dinámica de la deuda'!T28/100)/((1+'Dinámica de la deuda'!T14/100)*(1+'Dinámica de la deuda'!T15/100)))</f>
        <v>2.9206613627926144E-2</v>
      </c>
      <c r="U39" s="348">
        <f>SALIDA!T66/100*(('Dinámica de la deuda'!U28/100)/((1+'Dinámica de la deuda'!U14/100)*(1+'Dinámica de la deuda'!U15/100)))</f>
        <v>2.8204603196653511E-2</v>
      </c>
      <c r="V39" s="348">
        <f>SALIDA!U66/100*(('Dinámica de la deuda'!V28/100)/((1+'Dinámica de la deuda'!V14/100)*(1+'Dinámica de la deuda'!V15/100)))</f>
        <v>2.9111823821445931E-2</v>
      </c>
      <c r="W39" s="348">
        <f>SALIDA!V66/100*(('Dinámica de la deuda'!W28/100)/((1+'Dinámica de la deuda'!W14/100)*(1+'Dinámica de la deuda'!W15/100)))</f>
        <v>2.8364401603088465E-2</v>
      </c>
      <c r="X39" s="348">
        <f>SALIDA!W66/100*(('Dinámica de la deuda'!X28/100)/((1+'Dinámica de la deuda'!X14/100)*(1+'Dinámica de la deuda'!X15/100)))</f>
        <v>3.3915537415822899E-2</v>
      </c>
      <c r="Y39" s="339">
        <f>SALIDA!X66/100*(('Dinámica de la deuda'!Y28/100)/((1+'Dinámica de la deuda'!Y14/100)*(1+'Dinámica de la deuda'!Y15/100)))</f>
        <v>4.3556614531498471E-2</v>
      </c>
      <c r="Z39" s="135">
        <f>SALIDA!Y66/100*(('Dinámica de la deuda'!Z28/100)/((1+'Dinámica de la deuda'!Z14/100)*(1+'Dinámica de la deuda'!Z15/100)))</f>
        <v>0</v>
      </c>
      <c r="AA39" s="135" t="e">
        <f>SALIDA!Z66/100*(('Dinámica de la deuda'!AA28/100)/((1+'Dinámica de la deuda'!AA14/100)*(1+'Dinámica de la deuda'!AA15/100)))</f>
        <v>#DIV/0!</v>
      </c>
      <c r="AB39" s="135" t="e">
        <f>SALIDA!AA66/100*(('Dinámica de la deuda'!AB28/100)/((1+'Dinámica de la deuda'!AB14/100)*(1+'Dinámica de la deuda'!AB15/100)))</f>
        <v>#DIV/0!</v>
      </c>
      <c r="AC39" s="135" t="e">
        <f>SALIDA!AB66/100*(('Dinámica de la deuda'!AC28/100)/((1+'Dinámica de la deuda'!AC14/100)*(1+'Dinámica de la deuda'!AC15/100)))</f>
        <v>#DIV/0!</v>
      </c>
      <c r="AD39" s="135" t="e">
        <f>SALIDA!AC66/100*(('Dinámica de la deuda'!AD28/100)/((1+'Dinámica de la deuda'!AD14/100)*(1+'Dinámica de la deuda'!AD15/100)))</f>
        <v>#DIV/0!</v>
      </c>
      <c r="AE39" s="135" t="e">
        <f>SALIDA!AD66/100*(('Dinámica de la deuda'!AE28/100)/((1+'Dinámica de la deuda'!AE14/100)*(1+'Dinámica de la deuda'!AE15/100)))</f>
        <v>#DIV/0!</v>
      </c>
      <c r="AF39" s="135" t="e">
        <f>SALIDA!AE66/100*(('Dinámica de la deuda'!AF28/100)/((1+'Dinámica de la deuda'!AF14/100)*(1+'Dinámica de la deuda'!AF15/100)))</f>
        <v>#DIV/0!</v>
      </c>
      <c r="AG39" s="135" t="e">
        <f>SALIDA!AF66/100*(('Dinámica de la deuda'!AG28/100)/((1+'Dinámica de la deuda'!AG14/100)*(1+'Dinámica de la deuda'!AG15/100)))</f>
        <v>#DIV/0!</v>
      </c>
      <c r="AH39" s="135" t="e">
        <f>SALIDA!AG66/100*(('Dinámica de la deuda'!AH28/100)/((1+'Dinámica de la deuda'!AH14/100)*(1+'Dinámica de la deuda'!AH15/100)))</f>
        <v>#DIV/0!</v>
      </c>
      <c r="AI39" s="135" t="e">
        <f>SALIDA!AH66/100*(('Dinámica de la deuda'!AI28/100)/((1+'Dinámica de la deuda'!AI14/100)*(1+'Dinámica de la deuda'!AI15/100)))</f>
        <v>#DIV/0!</v>
      </c>
      <c r="AJ39" s="135" t="e">
        <f>SALIDA!AI66/100*(('Dinámica de la deuda'!AJ28/100)/((1+'Dinámica de la deuda'!AJ14/100)*(1+'Dinámica de la deuda'!AJ15/100)))</f>
        <v>#DIV/0!</v>
      </c>
      <c r="AK39" s="242" t="e">
        <f>SALIDA!AJ66/100*(('Dinámica de la deuda'!AK28/100)/((1+'Dinámica de la deuda'!AK14/100)*(1+'Dinámica de la deuda'!AK15/100)))</f>
        <v>#DIV/0!</v>
      </c>
      <c r="AL39" s="87"/>
      <c r="AM39" s="446"/>
      <c r="AN39" s="446"/>
      <c r="AO39" s="446"/>
      <c r="AP39" s="446"/>
      <c r="AQ39" s="446"/>
      <c r="AR39" s="446"/>
      <c r="AS39" s="446"/>
      <c r="AT39" s="446"/>
      <c r="AU39" s="446"/>
      <c r="AV39" s="446"/>
      <c r="AW39" s="446"/>
      <c r="AX39" s="446"/>
      <c r="AY39" s="446"/>
    </row>
    <row r="40" spans="1:51">
      <c r="A40" s="479" t="s">
        <v>95</v>
      </c>
      <c r="B40" s="145"/>
      <c r="C40" s="348">
        <f>-(SALIDA!B66/100)*(('Dinámica de la deuda'!C15/100)/(1+'Dinámica de la deuda'!C15/100))</f>
        <v>-2.6502302399896552E-2</v>
      </c>
      <c r="D40" s="348">
        <f>-(SALIDA!C66/100)*(('Dinámica de la deuda'!D15/100)/(1+'Dinámica de la deuda'!D15/100))</f>
        <v>-2.5564534618878684E-2</v>
      </c>
      <c r="E40" s="348">
        <f>-(SALIDA!D66/100)*(('Dinámica de la deuda'!E15/100)/(1+'Dinámica de la deuda'!E15/100))</f>
        <v>-2.5411917257142411E-2</v>
      </c>
      <c r="F40" s="348">
        <f>-(SALIDA!E66/100)*(('Dinámica de la deuda'!F15/100)/(1+'Dinámica de la deuda'!F15/100))</f>
        <v>-2.8219725578163032E-2</v>
      </c>
      <c r="G40" s="348">
        <f>-(SALIDA!F66/100)*(('Dinámica de la deuda'!G15/100)/(1+'Dinámica de la deuda'!G15/100))</f>
        <v>-2.3541759838581731E-2</v>
      </c>
      <c r="H40" s="348">
        <f>-(SALIDA!G66/100)*(('Dinámica de la deuda'!H15/100)/(1+'Dinámica de la deuda'!H15/100))</f>
        <v>-1.9190887104469912E-2</v>
      </c>
      <c r="I40" s="348">
        <f>-(SALIDA!H66/100)*(('Dinámica de la deuda'!I15/100)/(1+'Dinámica de la deuda'!I15/100))</f>
        <v>-1.7333949000564699E-2</v>
      </c>
      <c r="J40" s="348">
        <f>-(SALIDA!I66/100)*(('Dinámica de la deuda'!J15/100)/(1+'Dinámica de la deuda'!J15/100))</f>
        <v>-2.0591439032456964E-2</v>
      </c>
      <c r="K40" s="348">
        <f>-(SALIDA!J66/100)*(('Dinámica de la deuda'!K15/100)/(1+'Dinámica de la deuda'!K15/100))</f>
        <v>-2.547841063663641E-2</v>
      </c>
      <c r="L40" s="348">
        <f>-(SALIDA!K66/100)*(('Dinámica de la deuda'!L15/100)/(1+'Dinámica de la deuda'!L15/100))</f>
        <v>-6.9200745544498021E-3</v>
      </c>
      <c r="M40" s="348">
        <f>-(SALIDA!L66/100)*(('Dinámica de la deuda'!M15/100)/(1+'Dinámica de la deuda'!M15/100))</f>
        <v>-1.1233627630799976E-2</v>
      </c>
      <c r="N40" s="348">
        <f>-(SALIDA!M66/100)*(('Dinámica de la deuda'!N15/100)/(1+'Dinámica de la deuda'!N15/100))</f>
        <v>-1.3290857795281842E-2</v>
      </c>
      <c r="O40" s="348">
        <f>-(SALIDA!N66/100)*(('Dinámica de la deuda'!O15/100)/(1+'Dinámica de la deuda'!O15/100))</f>
        <v>-8.1925189961014194E-3</v>
      </c>
      <c r="P40" s="348">
        <f>-(SALIDA!O66/100)*(('Dinámica de la deuda'!P15/100)/(1+'Dinámica de la deuda'!P15/100))</f>
        <v>-6.3121905872424843E-3</v>
      </c>
      <c r="Q40" s="348">
        <f>-(SALIDA!P66/100)*(('Dinámica de la deuda'!Q15/100)/(1+'Dinámica de la deuda'!Q15/100))</f>
        <v>-1.2070858471682147E-2</v>
      </c>
      <c r="R40" s="348">
        <f>-(SALIDA!Q66/100)*(('Dinámica de la deuda'!R15/100)/(1+'Dinámica de la deuda'!R15/100))</f>
        <v>-2.3276121679914663E-2</v>
      </c>
      <c r="S40" s="348">
        <f>-(SALIDA!R66/100)*(('Dinámica de la deuda'!S15/100)/(1+'Dinámica de la deuda'!S15/100))</f>
        <v>-2.2713108596278852E-2</v>
      </c>
      <c r="T40" s="348">
        <f>-(SALIDA!S66/100)*(('Dinámica de la deuda'!T15/100)/(1+'Dinámica de la deuda'!T15/100))</f>
        <v>-1.6961576564567007E-2</v>
      </c>
      <c r="U40" s="348">
        <f>-(SALIDA!T66/100)*(('Dinámica de la deuda'!U15/100)/(1+'Dinámica de la deuda'!U15/100))</f>
        <v>-1.3494671659577731E-2</v>
      </c>
      <c r="V40" s="348">
        <f>-(SALIDA!U66/100)*(('Dinámica de la deuda'!V15/100)/(1+'Dinámica de la deuda'!V15/100))</f>
        <v>-1.6965906433440783E-2</v>
      </c>
      <c r="W40" s="348">
        <f>-(SALIDA!V66/100)*(('Dinámica de la deuda'!W15/100)/(1+'Dinámica de la deuda'!W15/100))</f>
        <v>-7.6672371711133122E-3</v>
      </c>
      <c r="X40" s="348">
        <f>-(SALIDA!W66/100)*(('Dinámica de la deuda'!X15/100)/(1+'Dinámica de la deuda'!X15/100))</f>
        <v>-3.2298995895891511E-2</v>
      </c>
      <c r="Y40" s="339">
        <f>-(SALIDA!X66/100)*(('Dinámica de la deuda'!Y15/100)/(1+'Dinámica de la deuda'!Y15/100))</f>
        <v>-6.965371645156497E-2</v>
      </c>
      <c r="Z40" s="135">
        <f>-(SALIDA!Y66/100)*(('Dinámica de la deuda'!Z15/100)/(1+'Dinámica de la deuda'!Z15/100))</f>
        <v>0</v>
      </c>
      <c r="AA40" s="135" t="e">
        <f>-(SALIDA!Z66/100)*(('Dinámica de la deuda'!AA15/100)/(1+'Dinámica de la deuda'!AA15/100))</f>
        <v>#DIV/0!</v>
      </c>
      <c r="AB40" s="135" t="e">
        <f>-(SALIDA!AA66/100)*(('Dinámica de la deuda'!AB15/100)/(1+'Dinámica de la deuda'!AB15/100))</f>
        <v>#DIV/0!</v>
      </c>
      <c r="AC40" s="135" t="e">
        <f>-(SALIDA!AB66/100)*(('Dinámica de la deuda'!AC15/100)/(1+'Dinámica de la deuda'!AC15/100))</f>
        <v>#DIV/0!</v>
      </c>
      <c r="AD40" s="135" t="e">
        <f>-(SALIDA!AC66/100)*(('Dinámica de la deuda'!AD15/100)/(1+'Dinámica de la deuda'!AD15/100))</f>
        <v>#DIV/0!</v>
      </c>
      <c r="AE40" s="135" t="e">
        <f>-(SALIDA!AD66/100)*(('Dinámica de la deuda'!AE15/100)/(1+'Dinámica de la deuda'!AE15/100))</f>
        <v>#DIV/0!</v>
      </c>
      <c r="AF40" s="135" t="e">
        <f>-(SALIDA!AE66/100)*(('Dinámica de la deuda'!AF15/100)/(1+'Dinámica de la deuda'!AF15/100))</f>
        <v>#DIV/0!</v>
      </c>
      <c r="AG40" s="135" t="e">
        <f>-(SALIDA!AF66/100)*(('Dinámica de la deuda'!AG15/100)/(1+'Dinámica de la deuda'!AG15/100))</f>
        <v>#DIV/0!</v>
      </c>
      <c r="AH40" s="135" t="e">
        <f>-(SALIDA!AG66/100)*(('Dinámica de la deuda'!AH15/100)/(1+'Dinámica de la deuda'!AH15/100))</f>
        <v>#DIV/0!</v>
      </c>
      <c r="AI40" s="135" t="e">
        <f>-(SALIDA!AH66/100)*(('Dinámica de la deuda'!AI15/100)/(1+'Dinámica de la deuda'!AI15/100))</f>
        <v>#DIV/0!</v>
      </c>
      <c r="AJ40" s="135" t="e">
        <f>-(SALIDA!AI66/100)*(('Dinámica de la deuda'!AJ15/100)/(1+'Dinámica de la deuda'!AJ15/100))</f>
        <v>#DIV/0!</v>
      </c>
      <c r="AK40" s="242" t="e">
        <f>-(SALIDA!AJ66/100)*(('Dinámica de la deuda'!AK15/100)/(1+'Dinámica de la deuda'!AK15/100))</f>
        <v>#DIV/0!</v>
      </c>
      <c r="AL40" s="87"/>
      <c r="AM40" s="446"/>
      <c r="AN40" s="446"/>
      <c r="AO40" s="446"/>
      <c r="AP40" s="446"/>
      <c r="AQ40" s="446"/>
      <c r="AR40" s="446"/>
      <c r="AS40" s="446"/>
      <c r="AT40" s="446"/>
      <c r="AU40" s="446"/>
      <c r="AV40" s="446"/>
      <c r="AW40" s="446"/>
      <c r="AX40" s="446"/>
      <c r="AY40" s="446"/>
    </row>
    <row r="41" spans="1:51">
      <c r="A41" s="479" t="s">
        <v>101</v>
      </c>
      <c r="B41" s="145"/>
      <c r="C41" s="348">
        <f>('Dinámica de la deuda'!C17/100*(1+'Dinámica de la deuda'!C27/100))/((1+'Dinámica de la deuda'!C14/100)*(1+'Dinámica de la deuda'!C15/100))*(('Dinámica de la deuda'!B20/100)*(SALIDA!B66/100))</f>
        <v>2.6770709024924854E-2</v>
      </c>
      <c r="D41" s="348">
        <f>('Dinámica de la deuda'!D17/100*(1+'Dinámica de la deuda'!D27/100))/((1+'Dinámica de la deuda'!D14/100)*(1+'Dinámica de la deuda'!D15/100))*(('Dinámica de la deuda'!C20/100)*(SALIDA!C66/100))</f>
        <v>4.2004020145127363E-3</v>
      </c>
      <c r="E41" s="348">
        <f>('Dinámica de la deuda'!E17/100*(1+'Dinámica de la deuda'!E27/100))/((1+'Dinámica de la deuda'!E14/100)*(1+'Dinámica de la deuda'!E15/100))*(('Dinámica de la deuda'!D20/100)*(SALIDA!D66/100))</f>
        <v>4.3227740905455503E-2</v>
      </c>
      <c r="F41" s="348">
        <f>('Dinámica de la deuda'!F17/100*(1+'Dinámica de la deuda'!F27/100))/((1+'Dinámica de la deuda'!F14/100)*(1+'Dinámica de la deuda'!F15/100))*(('Dinámica de la deuda'!E20/100)*(SALIDA!E66/100))</f>
        <v>-6.2716387246099289E-3</v>
      </c>
      <c r="G41" s="348">
        <f>('Dinámica de la deuda'!G17/100*(1+'Dinámica de la deuda'!G27/100))/((1+'Dinámica de la deuda'!G14/100)*(1+'Dinámica de la deuda'!G15/100))*(('Dinámica de la deuda'!F20/100)*(SALIDA!F66/100))</f>
        <v>-2.8159381626886321E-2</v>
      </c>
      <c r="H41" s="348">
        <f>('Dinámica de la deuda'!H17/100*(1+'Dinámica de la deuda'!H27/100))/((1+'Dinámica de la deuda'!H14/100)*(1+'Dinámica de la deuda'!H15/100))*(('Dinámica de la deuda'!G20/100)*(SALIDA!G66/100))</f>
        <v>-7.3015437476819222E-3</v>
      </c>
      <c r="I41" s="348">
        <f>('Dinámica de la deuda'!I17/100*(1+'Dinámica de la deuda'!I27/100))/((1+'Dinámica de la deuda'!I14/100)*(1+'Dinámica de la deuda'!I15/100))*(('Dinámica de la deuda'!H20/100)*(SALIDA!H66/100))</f>
        <v>-2.5522933237675559E-3</v>
      </c>
      <c r="J41" s="348">
        <f>('Dinámica de la deuda'!J17/100*(1+'Dinámica de la deuda'!J27/100))/((1+'Dinámica de la deuda'!J14/100)*(1+'Dinámica de la deuda'!J15/100))*(('Dinámica de la deuda'!I20/100)*(SALIDA!I66/100))</f>
        <v>-1.2100886539127109E-2</v>
      </c>
      <c r="K41" s="348">
        <f>('Dinámica de la deuda'!K17/100*(1+'Dinámica de la deuda'!K27/100))/((1+'Dinámica de la deuda'!K14/100)*(1+'Dinámica de la deuda'!K15/100))*(('Dinámica de la deuda'!J20/100)*(SALIDA!J66/100))</f>
        <v>1.2006890210183902E-2</v>
      </c>
      <c r="L41" s="348">
        <f>('Dinámica de la deuda'!L17/100*(1+'Dinámica de la deuda'!L27/100))/((1+'Dinámica de la deuda'!L14/100)*(1+'Dinámica de la deuda'!L15/100))*(('Dinámica de la deuda'!K20/100)*(SALIDA!K66/100))</f>
        <v>-1.0326544711963957E-2</v>
      </c>
      <c r="M41" s="348">
        <f>('Dinámica de la deuda'!M17/100*(1+'Dinámica de la deuda'!M27/100))/((1+'Dinámica de la deuda'!M14/100)*(1+'Dinámica de la deuda'!M15/100))*(('Dinámica de la deuda'!L20/100)*(SALIDA!L66/100))</f>
        <v>-6.8823134700648119E-3</v>
      </c>
      <c r="N41" s="348">
        <f>('Dinámica de la deuda'!N17/100*(1+'Dinámica de la deuda'!N27/100))/((1+'Dinámica de la deuda'!N14/100)*(1+'Dinámica de la deuda'!N15/100))*(('Dinámica de la deuda'!M20/100)*(SALIDA!M66/100))</f>
        <v>1.498689548631588E-3</v>
      </c>
      <c r="O41" s="348">
        <f>('Dinámica de la deuda'!O17/100*(1+'Dinámica de la deuda'!O27/100))/((1+'Dinámica de la deuda'!O14/100)*(1+'Dinámica de la deuda'!O15/100))*(('Dinámica de la deuda'!N20/100)*(SALIDA!N66/100))</f>
        <v>-8.7983682780663174E-3</v>
      </c>
      <c r="P41" s="348">
        <f>('Dinámica de la deuda'!P17/100*(1+'Dinámica de la deuda'!P27/100))/((1+'Dinámica de la deuda'!P14/100)*(1+'Dinámica de la deuda'!P15/100))*(('Dinámica de la deuda'!O20/100)*(SALIDA!O66/100))</f>
        <v>7.7836599968149466E-3</v>
      </c>
      <c r="Q41" s="348">
        <f>('Dinámica de la deuda'!Q17/100*(1+'Dinámica de la deuda'!Q27/100))/((1+'Dinámica de la deuda'!Q14/100)*(1+'Dinámica de la deuda'!Q15/100))*(('Dinámica de la deuda'!P20/100)*(SALIDA!P66/100))</f>
        <v>2.1959174121185299E-2</v>
      </c>
      <c r="R41" s="348">
        <f>('Dinámica de la deuda'!R17/100*(1+'Dinámica de la deuda'!R27/100))/((1+'Dinámica de la deuda'!R14/100)*(1+'Dinámica de la deuda'!R15/100))*(('Dinámica de la deuda'!Q20/100)*(SALIDA!Q66/100))</f>
        <v>3.4974923986724825E-2</v>
      </c>
      <c r="S41" s="348">
        <f>('Dinámica de la deuda'!S17/100*(1+'Dinámica de la deuda'!S27/100))/((1+'Dinámica de la deuda'!S14/100)*(1+'Dinámica de la deuda'!S15/100))*(('Dinámica de la deuda'!R20/100)*(SALIDA!R66/100))</f>
        <v>-7.0670619557999127E-3</v>
      </c>
      <c r="T41" s="348">
        <f>('Dinámica de la deuda'!T17/100*(1+'Dinámica de la deuda'!T27/100))/((1+'Dinámica de la deuda'!T14/100)*(1+'Dinámica de la deuda'!T15/100))*(('Dinámica de la deuda'!S20/100)*(SALIDA!S66/100))</f>
        <v>-8.060943181700652E-4</v>
      </c>
      <c r="U41" s="348">
        <f>('Dinámica de la deuda'!U17/100*(1+'Dinámica de la deuda'!U27/100))/((1+'Dinámica de la deuda'!U14/100)*(1+'Dinámica de la deuda'!U15/100))*(('Dinámica de la deuda'!T20/100)*(SALIDA!T66/100))</f>
        <v>1.2941721086968106E-2</v>
      </c>
      <c r="V41" s="348">
        <f>('Dinámica de la deuda'!V17/100*(1+'Dinámica de la deuda'!V27/100))/((1+'Dinámica de la deuda'!V14/100)*(1+'Dinámica de la deuda'!V15/100))*(('Dinámica de la deuda'!U20/100)*(SALIDA!U66/100))</f>
        <v>1.2962341504587571E-3</v>
      </c>
      <c r="W41" s="348">
        <f>('Dinámica de la deuda'!W17/100*(1+'Dinámica de la deuda'!W27/100))/((1+'Dinámica de la deuda'!W14/100)*(1+'Dinámica de la deuda'!W15/100))*(('Dinámica de la deuda'!V20/100)*(SALIDA!V66/100))</f>
        <v>8.1245914944355589E-3</v>
      </c>
      <c r="X41" s="348">
        <f>('Dinámica de la deuda'!X17/100*(1+'Dinámica de la deuda'!X27/100))/((1+'Dinámica de la deuda'!X14/100)*(1+'Dinámica de la deuda'!X15/100))*(('Dinámica de la deuda'!W20/100)*(SALIDA!W66/100))</f>
        <v>3.0699221164435395E-2</v>
      </c>
      <c r="Y41" s="339">
        <f>('Dinámica de la deuda'!Y17/100*(1+'Dinámica de la deuda'!Y27/100))/((1+'Dinámica de la deuda'!Y14/100)*(1+'Dinámica de la deuda'!Y15/100))*(('Dinámica de la deuda'!X20/100)*(SALIDA!X66/100))</f>
        <v>4.2533396268290016E-2</v>
      </c>
      <c r="Z41" s="135">
        <f>('Dinámica de la deuda'!Z17/100*(1+'Dinámica de la deuda'!Z27/100))/((1+'Dinámica de la deuda'!Z14/100)*(1+'Dinámica de la deuda'!Z15/100))*(('Dinámica de la deuda'!Y20/100)*(SALIDA!Y66/100))</f>
        <v>-0.24125693196134557</v>
      </c>
      <c r="AA41" s="135" t="e">
        <f>('Dinámica de la deuda'!AA17/100*(1+'Dinámica de la deuda'!AA27/100))/((1+'Dinámica de la deuda'!AA14/100)*(1+'Dinámica de la deuda'!AA15/100))*(('Dinámica de la deuda'!Z20/100)*(SALIDA!Z66/100))</f>
        <v>#DIV/0!</v>
      </c>
      <c r="AB41" s="135" t="e">
        <f>('Dinámica de la deuda'!AB17/100*(1+'Dinámica de la deuda'!AB27/100))/((1+'Dinámica de la deuda'!AB14/100)*(1+'Dinámica de la deuda'!AB15/100))*(('Dinámica de la deuda'!AA20/100)*(SALIDA!AA66/100))</f>
        <v>#DIV/0!</v>
      </c>
      <c r="AC41" s="135" t="e">
        <f>('Dinámica de la deuda'!AC17/100*(1+'Dinámica de la deuda'!AC27/100))/((1+'Dinámica de la deuda'!AC14/100)*(1+'Dinámica de la deuda'!AC15/100))*(('Dinámica de la deuda'!AB20/100)*(SALIDA!AB66/100))</f>
        <v>#DIV/0!</v>
      </c>
      <c r="AD41" s="135" t="e">
        <f>('Dinámica de la deuda'!AD17/100*(1+'Dinámica de la deuda'!AD27/100))/((1+'Dinámica de la deuda'!AD14/100)*(1+'Dinámica de la deuda'!AD15/100))*(('Dinámica de la deuda'!AC20/100)*(SALIDA!AC66/100))</f>
        <v>#DIV/0!</v>
      </c>
      <c r="AE41" s="135" t="e">
        <f>('Dinámica de la deuda'!AE17/100*(1+'Dinámica de la deuda'!AE27/100))/((1+'Dinámica de la deuda'!AE14/100)*(1+'Dinámica de la deuda'!AE15/100))*(('Dinámica de la deuda'!AD20/100)*(SALIDA!AD66/100))</f>
        <v>#DIV/0!</v>
      </c>
      <c r="AF41" s="135" t="e">
        <f>('Dinámica de la deuda'!AF17/100*(1+'Dinámica de la deuda'!AF27/100))/((1+'Dinámica de la deuda'!AF14/100)*(1+'Dinámica de la deuda'!AF15/100))*(('Dinámica de la deuda'!AE20/100)*(SALIDA!AE66/100))</f>
        <v>#DIV/0!</v>
      </c>
      <c r="AG41" s="135" t="e">
        <f>('Dinámica de la deuda'!AG17/100*(1+'Dinámica de la deuda'!AG27/100))/((1+'Dinámica de la deuda'!AG14/100)*(1+'Dinámica de la deuda'!AG15/100))*(('Dinámica de la deuda'!AF20/100)*(SALIDA!AF66/100))</f>
        <v>#DIV/0!</v>
      </c>
      <c r="AH41" s="135" t="e">
        <f>('Dinámica de la deuda'!AH17/100*(1+'Dinámica de la deuda'!AH27/100))/((1+'Dinámica de la deuda'!AH14/100)*(1+'Dinámica de la deuda'!AH15/100))*(('Dinámica de la deuda'!AG20/100)*(SALIDA!AG66/100))</f>
        <v>#DIV/0!</v>
      </c>
      <c r="AI41" s="135" t="e">
        <f>('Dinámica de la deuda'!AI17/100*(1+'Dinámica de la deuda'!AI27/100))/((1+'Dinámica de la deuda'!AI14/100)*(1+'Dinámica de la deuda'!AI15/100))*(('Dinámica de la deuda'!AH20/100)*(SALIDA!AH66/100))</f>
        <v>#DIV/0!</v>
      </c>
      <c r="AJ41" s="135" t="e">
        <f>('Dinámica de la deuda'!AJ17/100*(1+'Dinámica de la deuda'!AJ27/100))/((1+'Dinámica de la deuda'!AJ14/100)*(1+'Dinámica de la deuda'!AJ15/100))*(('Dinámica de la deuda'!AI20/100)*(SALIDA!AI66/100))</f>
        <v>#DIV/0!</v>
      </c>
      <c r="AK41" s="242" t="e">
        <f>('Dinámica de la deuda'!AK17/100*(1+'Dinámica de la deuda'!AK27/100))/((1+'Dinámica de la deuda'!AK14/100)*(1+'Dinámica de la deuda'!AK15/100))*(('Dinámica de la deuda'!AJ20/100)*(SALIDA!AJ66/100))</f>
        <v>#DIV/0!</v>
      </c>
      <c r="AL41" s="87"/>
      <c r="AM41" s="446"/>
      <c r="AN41" s="446"/>
      <c r="AO41" s="446"/>
      <c r="AP41" s="446"/>
      <c r="AQ41" s="446"/>
      <c r="AR41" s="446"/>
      <c r="AS41" s="446"/>
      <c r="AT41" s="446"/>
      <c r="AU41" s="446"/>
      <c r="AV41" s="446"/>
      <c r="AW41" s="446"/>
      <c r="AX41" s="446"/>
      <c r="AY41" s="446"/>
    </row>
    <row r="42" spans="1:51">
      <c r="A42" s="479" t="s">
        <v>250</v>
      </c>
      <c r="B42" s="145"/>
      <c r="C42" s="348">
        <f>-(SALIDA!B66/100)*('Dinámica de la deuda'!C14/100)/((1+'Dinámica de la deuda'!C14/100)*(1+'Dinámica de la deuda'!C15/100))</f>
        <v>-2.9201488225307471E-3</v>
      </c>
      <c r="D42" s="348">
        <f>-(SALIDA!C66/100)*('Dinámica de la deuda'!D14/100)/((1+'Dinámica de la deuda'!D14/100)*(1+'Dinámica de la deuda'!D15/100))</f>
        <v>-9.6424304891937745E-3</v>
      </c>
      <c r="E42" s="348">
        <f>-(SALIDA!D66/100)*('Dinámica de la deuda'!E14/100)/((1+'Dinámica de la deuda'!E14/100)*(1+'Dinámica de la deuda'!E15/100))</f>
        <v>-7.096934839184511E-3</v>
      </c>
      <c r="F42" s="348">
        <f>-(SALIDA!E66/100)*('Dinámica de la deuda'!F14/100)/((1+'Dinámica de la deuda'!F14/100)*(1+'Dinámica de la deuda'!F15/100))</f>
        <v>-1.8962913657554162E-2</v>
      </c>
      <c r="G42" s="348">
        <f>-(SALIDA!F66/100)*('Dinámica de la deuda'!G14/100)/((1+'Dinámica de la deuda'!G14/100)*(1+'Dinámica de la deuda'!G15/100))</f>
        <v>-1.7467830143829258E-2</v>
      </c>
      <c r="H42" s="348">
        <f>-(SALIDA!G66/100)*('Dinámica de la deuda'!H14/100)/((1+'Dinámica de la deuda'!H14/100)*(1+'Dinámica de la deuda'!H15/100))</f>
        <v>-1.8079953172090223E-2</v>
      </c>
      <c r="I42" s="348">
        <f>-(SALIDA!H66/100)*('Dinámica de la deuda'!I14/100)/((1+'Dinámica de la deuda'!I14/100)*(1+'Dinámica de la deuda'!I15/100))</f>
        <v>-2.4364203547700674E-2</v>
      </c>
      <c r="J42" s="348">
        <f>-(SALIDA!I66/100)*('Dinámica de la deuda'!J14/100)/((1+'Dinámica de la deuda'!J14/100)*(1+'Dinámica de la deuda'!J15/100))</f>
        <v>-2.2827468920730603E-2</v>
      </c>
      <c r="K42" s="348">
        <f>-(SALIDA!J66/100)*('Dinámica de la deuda'!K14/100)/((1+'Dinámica de la deuda'!K14/100)*(1+'Dinámica de la deuda'!K15/100))</f>
        <v>-1.0554282232640811E-2</v>
      </c>
      <c r="L42" s="348">
        <f>-(SALIDA!K66/100)*('Dinámica de la deuda'!L14/100)/((1+'Dinámica de la deuda'!L14/100)*(1+'Dinámica de la deuda'!L15/100))</f>
        <v>-3.8952729138351143E-3</v>
      </c>
      <c r="M42" s="348">
        <f>-(SALIDA!L66/100)*('Dinámica de la deuda'!M14/100)/((1+'Dinámica de la deuda'!M14/100)*(1+'Dinámica de la deuda'!M15/100))</f>
        <v>-1.5236878366789979E-2</v>
      </c>
      <c r="N42" s="348">
        <f>-(SALIDA!M66/100)*('Dinámica de la deuda'!N14/100)/((1+'Dinámica de la deuda'!N14/100)*(1+'Dinámica de la deuda'!N15/100))</f>
        <v>-2.3169205088740111E-2</v>
      </c>
      <c r="O42" s="348">
        <f>-(SALIDA!N66/100)*('Dinámica de la deuda'!O14/100)/((1+'Dinámica de la deuda'!O14/100)*(1+'Dinámica de la deuda'!O15/100))</f>
        <v>-1.2642375645752907E-2</v>
      </c>
      <c r="P42" s="348">
        <f>-(SALIDA!O66/100)*('Dinámica de la deuda'!P14/100)/((1+'Dinámica de la deuda'!P14/100)*(1+'Dinámica de la deuda'!P15/100))</f>
        <v>-1.588877913540394E-2</v>
      </c>
      <c r="Q42" s="348">
        <f>-(SALIDA!P66/100)*('Dinámica de la deuda'!Q14/100)/((1+'Dinámica de la deuda'!Q14/100)*(1+'Dinámica de la deuda'!Q15/100))</f>
        <v>-1.4199194316539144E-2</v>
      </c>
      <c r="R42" s="348">
        <f>-(SALIDA!Q66/100)*('Dinámica de la deuda'!R14/100)/((1+'Dinámica de la deuda'!R14/100)*(1+'Dinámica de la deuda'!R15/100))</f>
        <v>-9.870988468934503E-3</v>
      </c>
      <c r="S42" s="348">
        <f>-(SALIDA!R66/100)*('Dinámica de la deuda'!S14/100)/((1+'Dinámica de la deuda'!S14/100)*(1+'Dinámica de la deuda'!S15/100))</f>
        <v>-8.0767883492090329E-3</v>
      </c>
      <c r="T42" s="348">
        <f>-(SALIDA!S66/100)*('Dinámica de la deuda'!T14/100)/((1+'Dinámica de la deuda'!T14/100)*(1+'Dinámica de la deuda'!T15/100))</f>
        <v>-5.5617800425893761E-3</v>
      </c>
      <c r="U42" s="348">
        <f>-(SALIDA!T66/100)*('Dinámica de la deuda'!U14/100)/((1+'Dinámica de la deuda'!U14/100)*(1+'Dinámica de la deuda'!U15/100))</f>
        <v>-1.06099130290836E-2</v>
      </c>
      <c r="V42" s="348">
        <f>-(SALIDA!U66/100)*('Dinámica de la deuda'!V14/100)/((1+'Dinámica de la deuda'!V14/100)*(1+'Dinámica de la deuda'!V15/100))</f>
        <v>-1.3788958058472127E-2</v>
      </c>
      <c r="W42" s="348">
        <f>-(SALIDA!V66/100)*('Dinámica de la deuda'!W14/100)/((1+'Dinámica de la deuda'!W14/100)*(1+'Dinámica de la deuda'!W15/100))</f>
        <v>3.7237933675547882E-2</v>
      </c>
      <c r="X42" s="348">
        <f>-(SALIDA!W66/100)*('Dinámica de la deuda'!X14/100)/((1+'Dinámica de la deuda'!X14/100)*(1+'Dinámica de la deuda'!X15/100))</f>
        <v>-5.7029284241699361E-2</v>
      </c>
      <c r="Y42" s="339">
        <f>-(SALIDA!X66/100)*('Dinámica de la deuda'!Y14/100)/((1+'Dinámica de la deuda'!Y14/100)*(1+'Dinámica de la deuda'!Y15/100))</f>
        <v>-3.7019934625452326E-2</v>
      </c>
      <c r="Z42" s="135">
        <f>-(SALIDA!Y66/100)*('Dinámica de la deuda'!Z14/100)/((1+'Dinámica de la deuda'!Z14/100)*(1+'Dinámica de la deuda'!Z15/100))</f>
        <v>0</v>
      </c>
      <c r="AA42" s="135" t="e">
        <f>-(SALIDA!Z66/100)*('Dinámica de la deuda'!AA14/100)/((1+'Dinámica de la deuda'!AA14/100)*(1+'Dinámica de la deuda'!AA15/100))</f>
        <v>#DIV/0!</v>
      </c>
      <c r="AB42" s="135" t="e">
        <f>-(SALIDA!AA66/100)*('Dinámica de la deuda'!AB14/100)/((1+'Dinámica de la deuda'!AB14/100)*(1+'Dinámica de la deuda'!AB15/100))</f>
        <v>#DIV/0!</v>
      </c>
      <c r="AC42" s="135" t="e">
        <f>-(SALIDA!AB66/100)*('Dinámica de la deuda'!AC14/100)/((1+'Dinámica de la deuda'!AC14/100)*(1+'Dinámica de la deuda'!AC15/100))</f>
        <v>#DIV/0!</v>
      </c>
      <c r="AD42" s="135" t="e">
        <f>-(SALIDA!AC66/100)*('Dinámica de la deuda'!AD14/100)/((1+'Dinámica de la deuda'!AD14/100)*(1+'Dinámica de la deuda'!AD15/100))</f>
        <v>#DIV/0!</v>
      </c>
      <c r="AE42" s="135" t="e">
        <f>-(SALIDA!AD66/100)*('Dinámica de la deuda'!AE14/100)/((1+'Dinámica de la deuda'!AE14/100)*(1+'Dinámica de la deuda'!AE15/100))</f>
        <v>#DIV/0!</v>
      </c>
      <c r="AF42" s="135" t="e">
        <f>-(SALIDA!AE66/100)*('Dinámica de la deuda'!AF14/100)/((1+'Dinámica de la deuda'!AF14/100)*(1+'Dinámica de la deuda'!AF15/100))</f>
        <v>#DIV/0!</v>
      </c>
      <c r="AG42" s="135" t="e">
        <f>-(SALIDA!AF66/100)*('Dinámica de la deuda'!AG14/100)/((1+'Dinámica de la deuda'!AG14/100)*(1+'Dinámica de la deuda'!AG15/100))</f>
        <v>#DIV/0!</v>
      </c>
      <c r="AH42" s="135" t="e">
        <f>-(SALIDA!AG66/100)*('Dinámica de la deuda'!AH14/100)/((1+'Dinámica de la deuda'!AH14/100)*(1+'Dinámica de la deuda'!AH15/100))</f>
        <v>#DIV/0!</v>
      </c>
      <c r="AI42" s="135" t="e">
        <f>-(SALIDA!AH66/100)*('Dinámica de la deuda'!AI14/100)/((1+'Dinámica de la deuda'!AI14/100)*(1+'Dinámica de la deuda'!AI15/100))</f>
        <v>#DIV/0!</v>
      </c>
      <c r="AJ42" s="135" t="e">
        <f>-(SALIDA!AI66/100)*('Dinámica de la deuda'!AJ14/100)/((1+'Dinámica de la deuda'!AJ14/100)*(1+'Dinámica de la deuda'!AJ15/100))</f>
        <v>#DIV/0!</v>
      </c>
      <c r="AK42" s="242" t="e">
        <f>-(SALIDA!AJ66/100)*('Dinámica de la deuda'!AK14/100)/((1+'Dinámica de la deuda'!AK14/100)*(1+'Dinámica de la deuda'!AK15/100))</f>
        <v>#DIV/0!</v>
      </c>
      <c r="AL42" s="87"/>
      <c r="AM42" s="446"/>
      <c r="AN42" s="446"/>
      <c r="AO42" s="446"/>
      <c r="AP42" s="446"/>
      <c r="AQ42" s="446"/>
      <c r="AR42" s="446"/>
      <c r="AS42" s="446"/>
      <c r="AT42" s="446"/>
      <c r="AU42" s="446"/>
      <c r="AV42" s="446"/>
      <c r="AW42" s="446"/>
      <c r="AX42" s="446"/>
      <c r="AY42" s="446"/>
    </row>
    <row r="43" spans="1:51">
      <c r="A43" s="479" t="s">
        <v>27</v>
      </c>
      <c r="B43" s="348"/>
      <c r="C43" s="348">
        <f>-'Dinámica de la deuda'!C21/100</f>
        <v>1.4893641356065418E-2</v>
      </c>
      <c r="D43" s="348">
        <f>-'Dinámica de la deuda'!D21/100</f>
        <v>1.4091481238925774E-2</v>
      </c>
      <c r="E43" s="348">
        <f>-'Dinámica de la deuda'!E21/100</f>
        <v>1.7310970318957071E-2</v>
      </c>
      <c r="F43" s="348">
        <f>-'Dinámica de la deuda'!F21/100</f>
        <v>4.8877448213906945E-3</v>
      </c>
      <c r="G43" s="348">
        <f>-'Dinámica de la deuda'!G21/100</f>
        <v>9.36833066881213E-3</v>
      </c>
      <c r="H43" s="348">
        <f>-'Dinámica de la deuda'!H21/100</f>
        <v>8.8562840036689062E-3</v>
      </c>
      <c r="I43" s="348">
        <f>-'Dinámica de la deuda'!I21/100</f>
        <v>-2.3472553640037342E-3</v>
      </c>
      <c r="J43" s="348">
        <f>-'Dinámica de la deuda'!J21/100</f>
        <v>-1.002239972811533E-2</v>
      </c>
      <c r="K43" s="348">
        <f>-'Dinámica de la deuda'!K21/100</f>
        <v>-9.0185179294328659E-3</v>
      </c>
      <c r="L43" s="348">
        <f>-'Dinámica de la deuda'!L21/100</f>
        <v>1.1096844851208437E-2</v>
      </c>
      <c r="M43" s="348">
        <f>-'Dinámica de la deuda'!M21/100</f>
        <v>1.1344431298088549E-2</v>
      </c>
      <c r="N43" s="348">
        <f>-'Dinámica de la deuda'!N21/100</f>
        <v>1.1444338688612456E-3</v>
      </c>
      <c r="O43" s="348">
        <f>-'Dinámica de la deuda'!O21/100</f>
        <v>-2.417292728494475E-3</v>
      </c>
      <c r="P43" s="348">
        <f>-'Dinámica de la deuda'!P21/100</f>
        <v>3.9480641665590605E-4</v>
      </c>
      <c r="Q43" s="348">
        <f>-'Dinámica de la deuda'!Q21/100</f>
        <v>1.8048234968856788E-3</v>
      </c>
      <c r="R43" s="348">
        <f>-'Dinámica de la deuda'!R21/100</f>
        <v>4.5020642068323612E-3</v>
      </c>
      <c r="S43" s="348">
        <f>-'Dinámica de la deuda'!S21/100</f>
        <v>1.1048773145732004E-2</v>
      </c>
      <c r="T43" s="348">
        <f>-'Dinámica de la deuda'!T21/100</f>
        <v>7.6249404558689912E-3</v>
      </c>
      <c r="U43" s="348">
        <f>-'Dinámica de la deuda'!U21/100</f>
        <v>3.4164852666381286E-3</v>
      </c>
      <c r="V43" s="348">
        <f>-'Dinámica de la deuda'!V21/100</f>
        <v>-4.4826667284460662E-3</v>
      </c>
      <c r="W43" s="348">
        <f>-'Dinámica de la deuda'!W21/100</f>
        <v>4.953895862953353E-2</v>
      </c>
      <c r="X43" s="348">
        <f>-'Dinámica de la deuda'!X21/100</f>
        <v>3.6451099520905784E-2</v>
      </c>
      <c r="Y43" s="339">
        <f>-'Dinámica de la deuda'!Y21/100</f>
        <v>9.856070225871736E-3</v>
      </c>
      <c r="Z43" s="135">
        <f>-'Dinámica de la deuda'!Z21/100</f>
        <v>0</v>
      </c>
      <c r="AA43" s="135">
        <f>-'Dinámica de la deuda'!AA21/100</f>
        <v>0</v>
      </c>
      <c r="AB43" s="135">
        <f>-'Dinámica de la deuda'!AB21/100</f>
        <v>0</v>
      </c>
      <c r="AC43" s="135">
        <f>-'Dinámica de la deuda'!AC21/100</f>
        <v>0</v>
      </c>
      <c r="AD43" s="135">
        <f>-'Dinámica de la deuda'!AD21/100</f>
        <v>0</v>
      </c>
      <c r="AE43" s="135">
        <f>-'Dinámica de la deuda'!AE21/100</f>
        <v>0</v>
      </c>
      <c r="AF43" s="135">
        <f>-'Dinámica de la deuda'!AF21/100</f>
        <v>0</v>
      </c>
      <c r="AG43" s="135">
        <f>-'Dinámica de la deuda'!AG21/100</f>
        <v>0</v>
      </c>
      <c r="AH43" s="135">
        <f>-'Dinámica de la deuda'!AH21/100</f>
        <v>0</v>
      </c>
      <c r="AI43" s="135">
        <f>-'Dinámica de la deuda'!AI21/100</f>
        <v>0</v>
      </c>
      <c r="AJ43" s="135">
        <f>-'Dinámica de la deuda'!AJ21/100</f>
        <v>0</v>
      </c>
      <c r="AK43" s="242">
        <f>-'Dinámica de la deuda'!AK21/100</f>
        <v>0</v>
      </c>
      <c r="AL43" s="87"/>
      <c r="AM43" s="446"/>
      <c r="AN43" s="446"/>
      <c r="AO43" s="446"/>
      <c r="AP43" s="446"/>
      <c r="AQ43" s="446"/>
      <c r="AR43" s="446"/>
      <c r="AS43" s="446"/>
      <c r="AT43" s="446"/>
      <c r="AU43" s="446"/>
      <c r="AV43" s="446"/>
      <c r="AW43" s="446"/>
      <c r="AX43" s="446"/>
      <c r="AY43" s="446"/>
    </row>
    <row r="44" spans="1:51">
      <c r="A44" s="479" t="s">
        <v>256</v>
      </c>
      <c r="B44" s="348"/>
      <c r="C44" s="348">
        <f>(SALIDA!C63-SALIDA!B63)/100</f>
        <v>-4.4891249591907309E-3</v>
      </c>
      <c r="D44" s="348">
        <f>(SALIDA!D63-SALIDA!C63)/100</f>
        <v>1.3024388374118713E-2</v>
      </c>
      <c r="E44" s="348">
        <f>(SALIDA!E63-SALIDA!D63)/100</f>
        <v>-1.5951945447949437E-2</v>
      </c>
      <c r="F44" s="348">
        <f>(SALIDA!F63-SALIDA!E63)/100</f>
        <v>1.9996590464633145E-3</v>
      </c>
      <c r="G44" s="348">
        <f>(SALIDA!G63-SALIDA!F63)/100</f>
        <v>6.774197741603389E-3</v>
      </c>
      <c r="H44" s="348">
        <f>(SALIDA!H63-SALIDA!G63)/100</f>
        <v>4.350258994120477E-3</v>
      </c>
      <c r="I44" s="348">
        <f>(SALIDA!I63-SALIDA!H63)/100</f>
        <v>-1.672670894097772E-3</v>
      </c>
      <c r="J44" s="348">
        <f>(SALIDA!J63-SALIDA!I63)/100</f>
        <v>-1.2680786539054776E-2</v>
      </c>
      <c r="K44" s="348">
        <f>(SALIDA!K63-SALIDA!J63)/100</f>
        <v>1.0044681270814593E-4</v>
      </c>
      <c r="L44" s="348">
        <f>(SALIDA!L63-SALIDA!K63)/100</f>
        <v>5.5978479949319766E-3</v>
      </c>
      <c r="M44" s="348">
        <f>(SALIDA!M63-SALIDA!L63)/100</f>
        <v>8.7567225005138246E-4</v>
      </c>
      <c r="N44" s="348">
        <f>(SALIDA!N63-SALIDA!M63)/100</f>
        <v>4.4520446137245109E-3</v>
      </c>
      <c r="O44" s="348">
        <f>(SALIDA!O63-SALIDA!N63)/100</f>
        <v>-8.5996465402489557E-3</v>
      </c>
      <c r="P44" s="348">
        <f>(SALIDA!P63-SALIDA!O63)/100</f>
        <v>1.4280717762755281E-2</v>
      </c>
      <c r="Q44" s="348">
        <f>(SALIDA!Q63-SALIDA!P63)/100</f>
        <v>7.3237276800721587E-3</v>
      </c>
      <c r="R44" s="348">
        <f>(SALIDA!R63-SALIDA!Q63)/100</f>
        <v>-3.5017032603763764E-3</v>
      </c>
      <c r="S44" s="348">
        <f>(SALIDA!S63-SALIDA!R63)/100</f>
        <v>-3.8016582965559832E-3</v>
      </c>
      <c r="T44" s="348">
        <f>(SALIDA!T63-SALIDA!S63)/100</f>
        <v>1.3409531184287893E-3</v>
      </c>
      <c r="U44" s="348">
        <f>(SALIDA!U63-SALIDA!T63)/100</f>
        <v>3.9136177448690782E-3</v>
      </c>
      <c r="V44" s="348">
        <f>(SALIDA!V63-SALIDA!U63)/100</f>
        <v>-1.0305181076892054E-2</v>
      </c>
      <c r="W44" s="348">
        <f>(SALIDA!W63-SALIDA!V63)/100</f>
        <v>2.4258683504866888E-2</v>
      </c>
      <c r="X44" s="348">
        <f>(SALIDA!X63-SALIDA!W63)/100</f>
        <v>-1.4591913396865212E-2</v>
      </c>
      <c r="Y44" s="339">
        <f>(SALIDA!Y63-SALIDA!X63)/100</f>
        <v>2.7474481221727619E-3</v>
      </c>
      <c r="Z44" s="135">
        <f>(SALIDA!Z63-SALIDA!Y63)/100</f>
        <v>-3.1963626726928054E-2</v>
      </c>
      <c r="AA44" s="135">
        <f>(SALIDA!AA63-SALIDA!Z63)/100</f>
        <v>0</v>
      </c>
      <c r="AB44" s="135">
        <f>(SALIDA!AB63-SALIDA!AA63)/100</f>
        <v>0</v>
      </c>
      <c r="AC44" s="135">
        <f>(SALIDA!AC63-SALIDA!AB63)/100</f>
        <v>0</v>
      </c>
      <c r="AD44" s="135">
        <f>(SALIDA!AD63-SALIDA!AC63)/100</f>
        <v>0</v>
      </c>
      <c r="AE44" s="135">
        <f>(SALIDA!AE63-SALIDA!AD63)/100</f>
        <v>0</v>
      </c>
      <c r="AF44" s="135">
        <f>(SALIDA!AF63-SALIDA!AE63)/100</f>
        <v>0</v>
      </c>
      <c r="AG44" s="135">
        <f>(SALIDA!AG63-SALIDA!AF63)/100</f>
        <v>0</v>
      </c>
      <c r="AH44" s="135">
        <f>(SALIDA!AH63-SALIDA!AG63)/100</f>
        <v>0</v>
      </c>
      <c r="AI44" s="135">
        <f>(SALIDA!AI63-SALIDA!AH63)/100</f>
        <v>0</v>
      </c>
      <c r="AJ44" s="135">
        <f>(SALIDA!AJ63-SALIDA!AI63)/100</f>
        <v>0</v>
      </c>
      <c r="AK44" s="242">
        <f>(SALIDA!AK63-SALIDA!AJ63)/100</f>
        <v>0</v>
      </c>
      <c r="AL44" s="87"/>
      <c r="AM44" s="446"/>
      <c r="AN44" s="446"/>
      <c r="AO44" s="446"/>
      <c r="AP44" s="446"/>
      <c r="AQ44" s="446"/>
      <c r="AR44" s="446"/>
      <c r="AS44" s="446"/>
      <c r="AT44" s="446"/>
      <c r="AU44" s="446"/>
      <c r="AV44" s="446"/>
      <c r="AW44" s="446"/>
      <c r="AX44" s="446"/>
      <c r="AY44" s="446"/>
    </row>
    <row r="45" spans="1:51">
      <c r="A45" s="480" t="s">
        <v>255</v>
      </c>
      <c r="B45" s="349"/>
      <c r="C45" s="349">
        <f t="shared" ref="C45:AK45" si="3">C37-SUM(C39:C44)</f>
        <v>-1.7605844503973449E-2</v>
      </c>
      <c r="D45" s="349">
        <f t="shared" si="3"/>
        <v>-1.9463206013536141E-3</v>
      </c>
      <c r="E45" s="349">
        <f t="shared" si="3"/>
        <v>2.7188432758820907E-2</v>
      </c>
      <c r="F45" s="349">
        <f t="shared" si="3"/>
        <v>-3.2073675861948297E-3</v>
      </c>
      <c r="G45" s="349">
        <f t="shared" si="3"/>
        <v>-2.1213407277366276E-2</v>
      </c>
      <c r="H45" s="349">
        <f t="shared" si="3"/>
        <v>-1.0299416040715183E-2</v>
      </c>
      <c r="I45" s="349">
        <f t="shared" si="3"/>
        <v>-1.1023036599694636E-2</v>
      </c>
      <c r="J45" s="349">
        <f t="shared" si="3"/>
        <v>1.6546674728013324E-2</v>
      </c>
      <c r="K45" s="349">
        <f t="shared" si="3"/>
        <v>-4.1606928823836658E-3</v>
      </c>
      <c r="L45" s="349">
        <f t="shared" si="3"/>
        <v>-1.3507818867434082E-2</v>
      </c>
      <c r="M45" s="349">
        <f t="shared" si="3"/>
        <v>-1.8634581031947853E-3</v>
      </c>
      <c r="N45" s="349">
        <f t="shared" si="3"/>
        <v>-2.4447401209062469E-2</v>
      </c>
      <c r="O45" s="349">
        <f t="shared" si="3"/>
        <v>2.5030703299555538E-3</v>
      </c>
      <c r="P45" s="349">
        <f t="shared" si="3"/>
        <v>-1.2973122623973186E-2</v>
      </c>
      <c r="Q45" s="349">
        <f t="shared" si="3"/>
        <v>-1.555085490933427E-3</v>
      </c>
      <c r="R45" s="349">
        <f t="shared" si="3"/>
        <v>2.3188133306470078E-2</v>
      </c>
      <c r="S45" s="349">
        <f t="shared" si="3"/>
        <v>1.5338989224379127E-2</v>
      </c>
      <c r="T45" s="349">
        <f t="shared" si="3"/>
        <v>-8.6576906313044107E-3</v>
      </c>
      <c r="U45" s="349">
        <f t="shared" si="3"/>
        <v>1.2098700881695013E-3</v>
      </c>
      <c r="V45" s="349">
        <f t="shared" si="3"/>
        <v>3.559067437964071E-2</v>
      </c>
      <c r="W45" s="349">
        <f t="shared" si="3"/>
        <v>-1.6736254796593075E-2</v>
      </c>
      <c r="X45" s="349">
        <f t="shared" si="3"/>
        <v>-3.6089444237339041E-3</v>
      </c>
      <c r="Y45" s="350">
        <f t="shared" si="3"/>
        <v>-1.3136250265860419E-2</v>
      </c>
      <c r="Z45" s="240" t="e">
        <f t="shared" si="3"/>
        <v>#DIV/0!</v>
      </c>
      <c r="AA45" s="240" t="e">
        <f t="shared" si="3"/>
        <v>#DIV/0!</v>
      </c>
      <c r="AB45" s="240" t="e">
        <f t="shared" si="3"/>
        <v>#DIV/0!</v>
      </c>
      <c r="AC45" s="240" t="e">
        <f t="shared" si="3"/>
        <v>#DIV/0!</v>
      </c>
      <c r="AD45" s="240" t="e">
        <f t="shared" si="3"/>
        <v>#DIV/0!</v>
      </c>
      <c r="AE45" s="240" t="e">
        <f t="shared" si="3"/>
        <v>#DIV/0!</v>
      </c>
      <c r="AF45" s="240" t="e">
        <f t="shared" si="3"/>
        <v>#DIV/0!</v>
      </c>
      <c r="AG45" s="240" t="e">
        <f t="shared" si="3"/>
        <v>#DIV/0!</v>
      </c>
      <c r="AH45" s="240" t="e">
        <f t="shared" si="3"/>
        <v>#DIV/0!</v>
      </c>
      <c r="AI45" s="240" t="e">
        <f t="shared" si="3"/>
        <v>#DIV/0!</v>
      </c>
      <c r="AJ45" s="240" t="e">
        <f t="shared" si="3"/>
        <v>#DIV/0!</v>
      </c>
      <c r="AK45" s="241" t="e">
        <f t="shared" si="3"/>
        <v>#DIV/0!</v>
      </c>
      <c r="AL45" s="87"/>
      <c r="AM45" s="446"/>
      <c r="AN45" s="446"/>
      <c r="AO45" s="446"/>
      <c r="AP45" s="446"/>
      <c r="AQ45" s="446"/>
      <c r="AR45" s="446"/>
      <c r="AS45" s="446"/>
      <c r="AT45" s="446"/>
      <c r="AU45" s="446"/>
      <c r="AV45" s="446"/>
      <c r="AW45" s="446"/>
      <c r="AX45" s="446"/>
      <c r="AY45" s="446"/>
    </row>
    <row r="46" spans="1:51">
      <c r="A46" s="130"/>
      <c r="B46" s="131"/>
      <c r="C46" s="130"/>
      <c r="D46" s="130"/>
    </row>
  </sheetData>
  <mergeCells count="5">
    <mergeCell ref="A8:M8"/>
    <mergeCell ref="A3:M3"/>
    <mergeCell ref="A7:M7"/>
    <mergeCell ref="I1:J1"/>
    <mergeCell ref="A9:M9"/>
  </mergeCells>
  <hyperlinks>
    <hyperlink ref="F1" location="Supuestos!A1" display="Supuestos" xr:uid="{EE7131A7-16C5-7E4E-BA08-278C362A33ED}"/>
    <hyperlink ref="G1" location="SALIDA!A1" display="SALIDA" xr:uid="{A31AB4F5-CF83-F345-B249-E465F63821A7}"/>
    <hyperlink ref="H1" location="Gráficos!A1" display="Gráficos" xr:uid="{59A0857A-2DB0-0C45-AE8E-14ECE967D89F}"/>
    <hyperlink ref="I1" location="'Cumplimiento de la regla'!A1" display="Cumplimiento de la regla" xr:uid="{AADB3822-558A-0A4D-B08F-15A69FB6091C}"/>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89C29-2201-BE4A-906D-859F5EB8F262}">
  <sheetPr>
    <tabColor rgb="FF002060"/>
  </sheetPr>
  <dimension ref="A1:S32"/>
  <sheetViews>
    <sheetView zoomScale="90" zoomScaleNormal="90" workbookViewId="0">
      <selection activeCell="O18" sqref="O18"/>
    </sheetView>
  </sheetViews>
  <sheetFormatPr baseColWidth="10" defaultRowHeight="15"/>
  <cols>
    <col min="1" max="1" width="34.5" style="5" customWidth="1"/>
    <col min="2" max="4" width="8.33203125" style="5" customWidth="1"/>
    <col min="5" max="5" width="10.33203125" style="5" customWidth="1"/>
    <col min="6" max="14" width="8.33203125" style="5" customWidth="1"/>
    <col min="15" max="18" width="10.83203125" style="5"/>
    <col min="19" max="19" width="18" style="5" customWidth="1"/>
    <col min="20" max="16384" width="10.83203125" style="5"/>
  </cols>
  <sheetData>
    <row r="1" spans="1:16" ht="31" customHeight="1">
      <c r="A1" s="533" t="s">
        <v>312</v>
      </c>
      <c r="D1" s="531" t="s">
        <v>319</v>
      </c>
      <c r="E1" s="532" t="s">
        <v>285</v>
      </c>
      <c r="F1" s="532" t="s">
        <v>317</v>
      </c>
      <c r="G1" s="532" t="s">
        <v>318</v>
      </c>
      <c r="H1" s="757" t="s">
        <v>320</v>
      </c>
      <c r="I1" s="757"/>
    </row>
    <row r="3" spans="1:16" ht="53" customHeight="1">
      <c r="A3" s="716" t="s">
        <v>342</v>
      </c>
      <c r="B3" s="716"/>
      <c r="C3" s="716"/>
      <c r="D3" s="716"/>
      <c r="E3" s="716"/>
      <c r="F3" s="716"/>
      <c r="G3" s="716"/>
      <c r="H3" s="716"/>
      <c r="I3" s="716"/>
      <c r="J3" s="716"/>
      <c r="K3" s="716"/>
      <c r="L3" s="716"/>
      <c r="M3" s="716"/>
      <c r="N3" s="716"/>
    </row>
    <row r="4" spans="1:16" ht="25" customHeight="1">
      <c r="A4" s="756" t="s">
        <v>344</v>
      </c>
      <c r="B4" s="756"/>
      <c r="C4" s="756"/>
      <c r="D4" s="756"/>
      <c r="E4" s="756"/>
      <c r="F4" s="756"/>
      <c r="G4" s="756"/>
      <c r="H4" s="756"/>
      <c r="I4" s="756"/>
      <c r="J4" s="756"/>
      <c r="K4" s="756"/>
      <c r="L4" s="756"/>
      <c r="M4" s="756"/>
      <c r="N4" s="756"/>
    </row>
    <row r="5" spans="1:16" ht="85" customHeight="1">
      <c r="A5" s="759" t="s">
        <v>346</v>
      </c>
      <c r="B5" s="759"/>
      <c r="C5" s="759"/>
      <c r="D5" s="759"/>
      <c r="E5" s="759"/>
      <c r="F5" s="759"/>
      <c r="G5" s="759"/>
      <c r="H5" s="759"/>
      <c r="I5" s="759"/>
      <c r="J5" s="759"/>
      <c r="K5" s="759"/>
      <c r="L5" s="759"/>
      <c r="M5" s="759"/>
      <c r="N5" s="759"/>
      <c r="P5" s="523"/>
    </row>
    <row r="6" spans="1:16" ht="66" customHeight="1">
      <c r="A6" s="760" t="s">
        <v>345</v>
      </c>
      <c r="B6" s="760"/>
      <c r="C6" s="760"/>
      <c r="D6" s="760"/>
      <c r="E6" s="760"/>
      <c r="F6" s="760"/>
      <c r="G6" s="760"/>
      <c r="H6" s="760"/>
      <c r="I6" s="760"/>
      <c r="J6" s="760"/>
      <c r="K6" s="760"/>
      <c r="L6" s="760"/>
      <c r="M6" s="760"/>
      <c r="N6" s="760"/>
    </row>
    <row r="7" spans="1:16" ht="67" customHeight="1">
      <c r="A7" s="758" t="s">
        <v>343</v>
      </c>
      <c r="B7" s="758"/>
      <c r="C7" s="758"/>
      <c r="D7" s="758"/>
      <c r="E7" s="758"/>
      <c r="F7" s="758"/>
      <c r="G7" s="758"/>
      <c r="H7" s="758"/>
      <c r="I7" s="758"/>
      <c r="J7" s="758"/>
      <c r="K7" s="758"/>
      <c r="L7" s="758"/>
      <c r="M7" s="758"/>
      <c r="N7" s="758"/>
    </row>
    <row r="9" spans="1:16">
      <c r="A9" s="519" t="s">
        <v>352</v>
      </c>
    </row>
    <row r="10" spans="1:16">
      <c r="A10" s="520" t="s">
        <v>349</v>
      </c>
    </row>
    <row r="11" spans="1:16" ht="16">
      <c r="A11" s="467" t="s">
        <v>304</v>
      </c>
      <c r="B11" s="501">
        <v>2022</v>
      </c>
      <c r="C11" s="502">
        <v>2023</v>
      </c>
      <c r="D11" s="502">
        <v>2024</v>
      </c>
      <c r="E11" s="502">
        <v>2025</v>
      </c>
      <c r="F11" s="502">
        <v>2026</v>
      </c>
      <c r="G11" s="502">
        <v>2027</v>
      </c>
      <c r="H11" s="502">
        <v>2028</v>
      </c>
      <c r="I11" s="502">
        <v>2029</v>
      </c>
      <c r="J11" s="502">
        <v>2030</v>
      </c>
      <c r="K11" s="502">
        <v>2031</v>
      </c>
      <c r="L11" s="502">
        <v>2032</v>
      </c>
      <c r="M11" s="502">
        <v>2033</v>
      </c>
      <c r="N11" s="503">
        <v>2034</v>
      </c>
    </row>
    <row r="12" spans="1:16" ht="16">
      <c r="A12" s="534" t="s">
        <v>350</v>
      </c>
      <c r="B12" s="536">
        <f>SALIDA!Y66</f>
        <v>57.943457330808265</v>
      </c>
      <c r="C12" s="536" t="e">
        <f>SALIDA!Z66</f>
        <v>#DIV/0!</v>
      </c>
      <c r="D12" s="536" t="e">
        <f>SALIDA!AA66</f>
        <v>#DIV/0!</v>
      </c>
      <c r="E12" s="536" t="e">
        <f>SALIDA!AB66</f>
        <v>#DIV/0!</v>
      </c>
      <c r="F12" s="536" t="e">
        <f>SALIDA!AC66</f>
        <v>#DIV/0!</v>
      </c>
      <c r="G12" s="536" t="e">
        <f>SALIDA!AD66</f>
        <v>#DIV/0!</v>
      </c>
      <c r="H12" s="536" t="e">
        <f>SALIDA!AE66</f>
        <v>#DIV/0!</v>
      </c>
      <c r="I12" s="536" t="e">
        <f>SALIDA!AF66</f>
        <v>#DIV/0!</v>
      </c>
      <c r="J12" s="536" t="e">
        <f>SALIDA!AG66</f>
        <v>#DIV/0!</v>
      </c>
      <c r="K12" s="536" t="e">
        <f>SALIDA!AH66</f>
        <v>#DIV/0!</v>
      </c>
      <c r="L12" s="536" t="e">
        <f>SALIDA!AI66</f>
        <v>#DIV/0!</v>
      </c>
      <c r="M12" s="536" t="e">
        <f>SALIDA!AJ66</f>
        <v>#DIV/0!</v>
      </c>
      <c r="N12" s="536" t="e">
        <f>SALIDA!AK66</f>
        <v>#DIV/0!</v>
      </c>
    </row>
    <row r="13" spans="1:16" ht="16">
      <c r="A13" s="534" t="s">
        <v>347</v>
      </c>
      <c r="B13" s="536">
        <v>55</v>
      </c>
      <c r="C13" s="536">
        <v>55</v>
      </c>
      <c r="D13" s="536">
        <v>55</v>
      </c>
      <c r="E13" s="536">
        <v>55</v>
      </c>
      <c r="F13" s="536">
        <v>55</v>
      </c>
      <c r="G13" s="536">
        <v>55</v>
      </c>
      <c r="H13" s="536">
        <v>55</v>
      </c>
      <c r="I13" s="536">
        <v>55</v>
      </c>
      <c r="J13" s="536">
        <v>55</v>
      </c>
      <c r="K13" s="536">
        <v>55</v>
      </c>
      <c r="L13" s="536">
        <v>55</v>
      </c>
      <c r="M13" s="536">
        <v>55</v>
      </c>
      <c r="N13" s="536">
        <v>55</v>
      </c>
    </row>
    <row r="14" spans="1:16" ht="16">
      <c r="A14" s="534" t="s">
        <v>348</v>
      </c>
      <c r="B14" s="536">
        <v>71</v>
      </c>
      <c r="C14" s="536">
        <v>71</v>
      </c>
      <c r="D14" s="536">
        <v>71</v>
      </c>
      <c r="E14" s="536">
        <v>71</v>
      </c>
      <c r="F14" s="536">
        <v>71</v>
      </c>
      <c r="G14" s="536">
        <v>71</v>
      </c>
      <c r="H14" s="536">
        <v>71</v>
      </c>
      <c r="I14" s="536">
        <v>71</v>
      </c>
      <c r="J14" s="536">
        <v>71</v>
      </c>
      <c r="K14" s="536">
        <v>71</v>
      </c>
      <c r="L14" s="536">
        <v>71</v>
      </c>
      <c r="M14" s="536">
        <v>71</v>
      </c>
      <c r="N14" s="536">
        <v>71</v>
      </c>
    </row>
    <row r="16" spans="1:16">
      <c r="A16" s="519" t="s">
        <v>351</v>
      </c>
    </row>
    <row r="17" spans="1:19">
      <c r="A17" s="520" t="s">
        <v>349</v>
      </c>
    </row>
    <row r="18" spans="1:19" ht="16">
      <c r="A18" s="467" t="s">
        <v>304</v>
      </c>
      <c r="B18" s="501">
        <v>2022</v>
      </c>
      <c r="C18" s="502">
        <v>2023</v>
      </c>
      <c r="D18" s="502">
        <v>2024</v>
      </c>
      <c r="E18" s="502">
        <v>2025</v>
      </c>
      <c r="F18" s="502">
        <v>2026</v>
      </c>
      <c r="G18" s="502">
        <v>2027</v>
      </c>
      <c r="H18" s="502">
        <v>2028</v>
      </c>
      <c r="I18" s="502">
        <v>2029</v>
      </c>
      <c r="J18" s="502">
        <v>2030</v>
      </c>
      <c r="K18" s="502">
        <v>2031</v>
      </c>
      <c r="L18" s="502">
        <v>2032</v>
      </c>
      <c r="M18" s="502">
        <v>2033</v>
      </c>
      <c r="N18" s="503">
        <v>2034</v>
      </c>
    </row>
    <row r="19" spans="1:19" ht="16" customHeight="1">
      <c r="A19" s="468" t="s">
        <v>27</v>
      </c>
      <c r="B19" s="483">
        <f>'Dinámica de la deuda'!Y21</f>
        <v>-0.98560702258717359</v>
      </c>
      <c r="C19" s="484">
        <f>'Dinámica de la deuda'!Z21</f>
        <v>0</v>
      </c>
      <c r="D19" s="484">
        <f>'Dinámica de la deuda'!AA21</f>
        <v>0</v>
      </c>
      <c r="E19" s="484">
        <f>'Dinámica de la deuda'!AB21</f>
        <v>0</v>
      </c>
      <c r="F19" s="484">
        <f>'Dinámica de la deuda'!AC21</f>
        <v>0</v>
      </c>
      <c r="G19" s="484">
        <f>'Dinámica de la deuda'!AD21</f>
        <v>0</v>
      </c>
      <c r="H19" s="484">
        <f>'Dinámica de la deuda'!AE21</f>
        <v>0</v>
      </c>
      <c r="I19" s="484">
        <f>'Dinámica de la deuda'!AF21</f>
        <v>0</v>
      </c>
      <c r="J19" s="484">
        <f>'Dinámica de la deuda'!AG21</f>
        <v>0</v>
      </c>
      <c r="K19" s="484">
        <f>'Dinámica de la deuda'!AH21</f>
        <v>0</v>
      </c>
      <c r="L19" s="484">
        <f>'Dinámica de la deuda'!AI21</f>
        <v>0</v>
      </c>
      <c r="M19" s="484">
        <f>'Dinámica de la deuda'!AJ21</f>
        <v>0</v>
      </c>
      <c r="N19" s="485">
        <f>'Dinámica de la deuda'!AK21</f>
        <v>0</v>
      </c>
      <c r="P19" s="717" t="s">
        <v>396</v>
      </c>
      <c r="Q19" s="717"/>
      <c r="R19" s="717"/>
      <c r="S19" s="717"/>
    </row>
    <row r="20" spans="1:19" ht="15" customHeight="1">
      <c r="A20" s="469" t="s">
        <v>305</v>
      </c>
      <c r="B20" s="486">
        <v>0</v>
      </c>
      <c r="C20" s="487"/>
      <c r="D20" s="487"/>
      <c r="E20" s="487"/>
      <c r="F20" s="487"/>
      <c r="G20" s="487"/>
      <c r="H20" s="487"/>
      <c r="I20" s="487"/>
      <c r="J20" s="487"/>
      <c r="K20" s="487"/>
      <c r="L20" s="487"/>
      <c r="M20" s="487"/>
      <c r="N20" s="488"/>
      <c r="P20" s="717"/>
      <c r="Q20" s="717"/>
      <c r="R20" s="717"/>
      <c r="S20" s="717"/>
    </row>
    <row r="21" spans="1:19">
      <c r="A21" s="469" t="s">
        <v>306</v>
      </c>
      <c r="B21" s="486">
        <v>0.7</v>
      </c>
      <c r="C21" s="487"/>
      <c r="D21" s="487"/>
      <c r="E21" s="487"/>
      <c r="F21" s="487"/>
      <c r="G21" s="487"/>
      <c r="H21" s="487"/>
      <c r="I21" s="487"/>
      <c r="J21" s="487"/>
      <c r="K21" s="487"/>
      <c r="L21" s="487"/>
      <c r="M21" s="487"/>
      <c r="N21" s="488"/>
      <c r="P21" s="717"/>
      <c r="Q21" s="717"/>
      <c r="R21" s="717"/>
      <c r="S21" s="717"/>
    </row>
    <row r="22" spans="1:19">
      <c r="A22" s="469" t="s">
        <v>307</v>
      </c>
      <c r="B22" s="486">
        <v>-0.1</v>
      </c>
      <c r="C22" s="487"/>
      <c r="D22" s="487"/>
      <c r="E22" s="487"/>
      <c r="F22" s="487"/>
      <c r="G22" s="487"/>
      <c r="H22" s="487"/>
      <c r="I22" s="487"/>
      <c r="J22" s="487"/>
      <c r="K22" s="487"/>
      <c r="L22" s="487"/>
      <c r="M22" s="487"/>
      <c r="N22" s="488"/>
      <c r="P22" s="717"/>
      <c r="Q22" s="717"/>
      <c r="R22" s="717"/>
      <c r="S22" s="717"/>
    </row>
    <row r="23" spans="1:19">
      <c r="A23" s="470" t="s">
        <v>308</v>
      </c>
      <c r="B23" s="489">
        <v>0.1</v>
      </c>
      <c r="C23" s="490"/>
      <c r="D23" s="490"/>
      <c r="E23" s="490"/>
      <c r="F23" s="490"/>
      <c r="G23" s="490"/>
      <c r="H23" s="490"/>
      <c r="I23" s="490"/>
      <c r="J23" s="490"/>
      <c r="K23" s="490"/>
      <c r="L23" s="490"/>
      <c r="M23" s="490"/>
      <c r="N23" s="491"/>
      <c r="P23" s="717"/>
      <c r="Q23" s="717"/>
      <c r="R23" s="717"/>
      <c r="S23" s="717"/>
    </row>
    <row r="24" spans="1:19" ht="16">
      <c r="A24" s="471" t="s">
        <v>313</v>
      </c>
      <c r="B24" s="492">
        <f>B19-B20-B21-B22-B23</f>
        <v>-1.6856070225871735</v>
      </c>
      <c r="C24" s="493">
        <f t="shared" ref="C24:N24" si="0">C19-C20-C21-C22-C23</f>
        <v>0</v>
      </c>
      <c r="D24" s="493">
        <f t="shared" si="0"/>
        <v>0</v>
      </c>
      <c r="E24" s="493">
        <f t="shared" si="0"/>
        <v>0</v>
      </c>
      <c r="F24" s="493">
        <f t="shared" si="0"/>
        <v>0</v>
      </c>
      <c r="G24" s="493">
        <f t="shared" si="0"/>
        <v>0</v>
      </c>
      <c r="H24" s="493">
        <f t="shared" si="0"/>
        <v>0</v>
      </c>
      <c r="I24" s="493">
        <f t="shared" si="0"/>
        <v>0</v>
      </c>
      <c r="J24" s="493">
        <f t="shared" si="0"/>
        <v>0</v>
      </c>
      <c r="K24" s="493">
        <f t="shared" si="0"/>
        <v>0</v>
      </c>
      <c r="L24" s="493">
        <f t="shared" si="0"/>
        <v>0</v>
      </c>
      <c r="M24" s="493">
        <f t="shared" si="0"/>
        <v>0</v>
      </c>
      <c r="N24" s="494">
        <f t="shared" si="0"/>
        <v>0</v>
      </c>
    </row>
    <row r="25" spans="1:19">
      <c r="A25" s="472" t="s">
        <v>309</v>
      </c>
      <c r="B25" s="495">
        <v>-4.700000000000002</v>
      </c>
      <c r="C25" s="496">
        <v>-1.4000000000000008</v>
      </c>
      <c r="D25" s="497">
        <v>-0.2</v>
      </c>
      <c r="E25" s="496">
        <v>0.5</v>
      </c>
      <c r="F25" s="498" t="e">
        <f>0.2+0.1*(E12-55)</f>
        <v>#DIV/0!</v>
      </c>
      <c r="G25" s="498" t="e">
        <f t="shared" ref="G25:N25" si="1">0.2+0.1*(F12-55)</f>
        <v>#DIV/0!</v>
      </c>
      <c r="H25" s="498" t="e">
        <f t="shared" si="1"/>
        <v>#DIV/0!</v>
      </c>
      <c r="I25" s="498" t="e">
        <f t="shared" si="1"/>
        <v>#DIV/0!</v>
      </c>
      <c r="J25" s="498" t="e">
        <f t="shared" si="1"/>
        <v>#DIV/0!</v>
      </c>
      <c r="K25" s="498" t="e">
        <f t="shared" si="1"/>
        <v>#DIV/0!</v>
      </c>
      <c r="L25" s="498" t="e">
        <f t="shared" si="1"/>
        <v>#DIV/0!</v>
      </c>
      <c r="M25" s="498" t="e">
        <f t="shared" si="1"/>
        <v>#DIV/0!</v>
      </c>
      <c r="N25" s="499" t="e">
        <f t="shared" si="1"/>
        <v>#DIV/0!</v>
      </c>
      <c r="P25" s="717" t="s">
        <v>353</v>
      </c>
      <c r="Q25" s="717"/>
      <c r="R25" s="717"/>
      <c r="S25" s="717"/>
    </row>
    <row r="26" spans="1:19">
      <c r="A26" s="639" t="s">
        <v>310</v>
      </c>
      <c r="B26" s="640">
        <f>B24-B25</f>
        <v>3.0143929774128284</v>
      </c>
      <c r="C26" s="641">
        <f t="shared" ref="C26:N26" si="2">C24-C25</f>
        <v>1.4000000000000008</v>
      </c>
      <c r="D26" s="641">
        <f t="shared" si="2"/>
        <v>0.2</v>
      </c>
      <c r="E26" s="641">
        <f t="shared" si="2"/>
        <v>-0.5</v>
      </c>
      <c r="F26" s="641" t="e">
        <f t="shared" si="2"/>
        <v>#DIV/0!</v>
      </c>
      <c r="G26" s="641" t="e">
        <f t="shared" si="2"/>
        <v>#DIV/0!</v>
      </c>
      <c r="H26" s="641" t="e">
        <f t="shared" si="2"/>
        <v>#DIV/0!</v>
      </c>
      <c r="I26" s="641" t="e">
        <f t="shared" si="2"/>
        <v>#DIV/0!</v>
      </c>
      <c r="J26" s="641" t="e">
        <f t="shared" si="2"/>
        <v>#DIV/0!</v>
      </c>
      <c r="K26" s="641" t="e">
        <f t="shared" si="2"/>
        <v>#DIV/0!</v>
      </c>
      <c r="L26" s="641" t="e">
        <f t="shared" si="2"/>
        <v>#DIV/0!</v>
      </c>
      <c r="M26" s="641" t="e">
        <f t="shared" si="2"/>
        <v>#DIV/0!</v>
      </c>
      <c r="N26" s="642" t="e">
        <f t="shared" si="2"/>
        <v>#DIV/0!</v>
      </c>
      <c r="P26" s="717"/>
      <c r="Q26" s="717"/>
      <c r="R26" s="717"/>
      <c r="S26" s="717"/>
    </row>
    <row r="27" spans="1:19">
      <c r="P27" s="717"/>
      <c r="Q27" s="717"/>
      <c r="R27" s="717"/>
      <c r="S27" s="717"/>
    </row>
    <row r="28" spans="1:19">
      <c r="A28" s="500" t="s">
        <v>311</v>
      </c>
      <c r="B28" s="643">
        <f>0.2+0.1*(SALIDA!X66-55)</f>
        <v>0.70550945503127394</v>
      </c>
      <c r="C28" s="481">
        <f>IF(B12&gt;70,1.8,0.2+0.1*(B12-55))</f>
        <v>0.49434573308082652</v>
      </c>
      <c r="D28" s="481" t="e">
        <f t="shared" ref="D28:N28" si="3">IF(C12&gt;70,1.8,0.2+0.1*(C12-55))</f>
        <v>#DIV/0!</v>
      </c>
      <c r="E28" s="481" t="e">
        <f t="shared" si="3"/>
        <v>#DIV/0!</v>
      </c>
      <c r="F28" s="481" t="e">
        <f t="shared" si="3"/>
        <v>#DIV/0!</v>
      </c>
      <c r="G28" s="481" t="e">
        <f t="shared" si="3"/>
        <v>#DIV/0!</v>
      </c>
      <c r="H28" s="481" t="e">
        <f t="shared" si="3"/>
        <v>#DIV/0!</v>
      </c>
      <c r="I28" s="481" t="e">
        <f t="shared" si="3"/>
        <v>#DIV/0!</v>
      </c>
      <c r="J28" s="481" t="e">
        <f t="shared" si="3"/>
        <v>#DIV/0!</v>
      </c>
      <c r="K28" s="481" t="e">
        <f t="shared" si="3"/>
        <v>#DIV/0!</v>
      </c>
      <c r="L28" s="481" t="e">
        <f t="shared" si="3"/>
        <v>#DIV/0!</v>
      </c>
      <c r="M28" s="481" t="e">
        <f t="shared" si="3"/>
        <v>#DIV/0!</v>
      </c>
      <c r="N28" s="482" t="e">
        <f t="shared" si="3"/>
        <v>#DIV/0!</v>
      </c>
    </row>
    <row r="29" spans="1:19">
      <c r="A29" s="500" t="s">
        <v>314</v>
      </c>
      <c r="B29" s="504">
        <v>-4.700000000000002</v>
      </c>
      <c r="C29" s="505">
        <v>-1.4000000000000008</v>
      </c>
      <c r="D29" s="506">
        <v>-0.2</v>
      </c>
      <c r="E29" s="507">
        <v>0.5</v>
      </c>
    </row>
    <row r="31" spans="1:19" ht="18">
      <c r="A31" s="535"/>
      <c r="B31" s="535"/>
      <c r="C31" s="535"/>
      <c r="D31" s="535"/>
      <c r="E31" s="535"/>
      <c r="F31" s="535"/>
      <c r="G31" s="535"/>
      <c r="H31" s="535"/>
    </row>
    <row r="32" spans="1:19" ht="16">
      <c r="A32" s="522"/>
      <c r="B32" s="522"/>
      <c r="C32" s="522"/>
      <c r="D32" s="522"/>
      <c r="E32" s="522"/>
      <c r="F32" s="522"/>
      <c r="G32" s="522"/>
      <c r="H32" s="522"/>
    </row>
  </sheetData>
  <mergeCells count="8">
    <mergeCell ref="P25:S27"/>
    <mergeCell ref="H1:I1"/>
    <mergeCell ref="A3:N3"/>
    <mergeCell ref="A7:N7"/>
    <mergeCell ref="A4:N4"/>
    <mergeCell ref="A5:N5"/>
    <mergeCell ref="A6:N6"/>
    <mergeCell ref="P19:S23"/>
  </mergeCells>
  <hyperlinks>
    <hyperlink ref="E1" location="Supuestos!A1" display="Supuestos" xr:uid="{89077D90-571F-3847-9E88-2E750D78BE4B}"/>
    <hyperlink ref="F1" location="SALIDA!A1" display="SALIDA" xr:uid="{A651997F-2FBB-4C45-B709-B00B6510D85E}"/>
    <hyperlink ref="G1" location="Gráficos!A1" display="Gráficos" xr:uid="{F0717C22-1170-FA49-BEFE-10561DA24D63}"/>
    <hyperlink ref="H1" location="'Cumplimiento de la regla'!A1" display="Cumplimiento de la regla" xr:uid="{1B1ECD71-54C4-2F48-A1A6-E7F914208369}"/>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8B0F6-10C7-9843-836E-3CD855DC6804}">
  <sheetPr>
    <tabColor rgb="FF003E6B"/>
  </sheetPr>
  <dimension ref="A1:R42"/>
  <sheetViews>
    <sheetView zoomScaleNormal="90" workbookViewId="0">
      <selection activeCell="A2" sqref="A2"/>
    </sheetView>
  </sheetViews>
  <sheetFormatPr baseColWidth="10" defaultRowHeight="16"/>
  <cols>
    <col min="1" max="1" width="2.5" style="39" customWidth="1"/>
    <col min="2" max="6" width="10.83203125" style="39"/>
    <col min="7" max="7" width="6.1640625" style="39" customWidth="1"/>
    <col min="8" max="9" width="12.6640625" style="39" customWidth="1"/>
    <col min="10" max="10" width="13.6640625" style="39" customWidth="1"/>
    <col min="11" max="11" width="10.83203125" style="39"/>
    <col min="12" max="12" width="18.1640625" style="39" customWidth="1"/>
    <col min="13" max="16384" width="10.83203125" style="39"/>
  </cols>
  <sheetData>
    <row r="1" spans="1:18" ht="34">
      <c r="A1" s="672" t="s">
        <v>315</v>
      </c>
      <c r="H1" s="510" t="s">
        <v>319</v>
      </c>
      <c r="I1" s="511" t="s">
        <v>285</v>
      </c>
      <c r="J1" s="511" t="s">
        <v>317</v>
      </c>
      <c r="K1" s="511" t="s">
        <v>318</v>
      </c>
      <c r="L1" s="511" t="s">
        <v>320</v>
      </c>
    </row>
    <row r="3" spans="1:18" s="516" customFormat="1" ht="92" customHeight="1">
      <c r="A3" s="707" t="s">
        <v>405</v>
      </c>
      <c r="B3" s="707"/>
      <c r="C3" s="707"/>
      <c r="D3" s="707"/>
      <c r="E3" s="707"/>
      <c r="F3" s="707"/>
      <c r="G3" s="707"/>
      <c r="H3" s="707"/>
      <c r="I3" s="707"/>
      <c r="J3" s="707"/>
      <c r="K3" s="707"/>
      <c r="L3" s="707"/>
      <c r="M3" s="707"/>
      <c r="N3" s="707"/>
      <c r="O3" s="707"/>
      <c r="P3" s="707"/>
      <c r="Q3" s="707"/>
      <c r="R3" s="707"/>
    </row>
    <row r="4" spans="1:18" s="516" customFormat="1">
      <c r="A4" s="673"/>
      <c r="B4" s="673"/>
      <c r="C4" s="673"/>
      <c r="D4" s="673"/>
      <c r="E4" s="673"/>
      <c r="F4" s="673"/>
      <c r="G4" s="673"/>
      <c r="H4" s="673"/>
      <c r="I4" s="673"/>
      <c r="J4" s="673"/>
      <c r="K4" s="673"/>
      <c r="L4" s="673"/>
      <c r="M4" s="673"/>
      <c r="N4" s="673"/>
      <c r="O4" s="673"/>
      <c r="P4" s="673"/>
      <c r="Q4" s="673"/>
      <c r="R4" s="673"/>
    </row>
    <row r="5" spans="1:18">
      <c r="A5" s="704" t="s">
        <v>406</v>
      </c>
      <c r="B5" s="704"/>
      <c r="C5" s="704"/>
      <c r="D5" s="704"/>
      <c r="E5" s="704"/>
      <c r="F5" s="704"/>
      <c r="G5" s="704"/>
      <c r="H5" s="704"/>
      <c r="I5" s="704"/>
      <c r="J5" s="704"/>
      <c r="K5" s="704"/>
      <c r="L5" s="704"/>
      <c r="M5" s="704"/>
      <c r="N5" s="704"/>
      <c r="O5" s="704"/>
      <c r="P5" s="704"/>
      <c r="Q5" s="704"/>
      <c r="R5" s="704"/>
    </row>
    <row r="6" spans="1:18">
      <c r="A6" s="675"/>
      <c r="B6" s="675"/>
      <c r="C6" s="675"/>
      <c r="D6" s="675"/>
      <c r="E6" s="675"/>
      <c r="F6" s="675"/>
      <c r="G6" s="675"/>
      <c r="H6" s="675"/>
      <c r="I6" s="675"/>
      <c r="J6" s="675"/>
      <c r="K6" s="675"/>
      <c r="L6" s="675"/>
      <c r="M6" s="675"/>
      <c r="N6" s="675"/>
      <c r="O6" s="675"/>
      <c r="P6" s="675"/>
      <c r="Q6" s="675"/>
      <c r="R6" s="675"/>
    </row>
    <row r="7" spans="1:18">
      <c r="A7" s="674"/>
      <c r="B7" s="674"/>
      <c r="C7" s="674"/>
      <c r="D7" s="674"/>
      <c r="E7" s="674"/>
      <c r="F7" s="674"/>
      <c r="G7" s="674"/>
      <c r="H7" s="676" t="s">
        <v>332</v>
      </c>
      <c r="I7" s="674"/>
      <c r="J7" s="674"/>
      <c r="K7" s="674"/>
      <c r="L7" s="674"/>
      <c r="M7" s="674"/>
      <c r="N7" s="674"/>
      <c r="O7" s="674"/>
      <c r="P7" s="674"/>
      <c r="Q7" s="674"/>
      <c r="R7" s="674"/>
    </row>
    <row r="8" spans="1:18" ht="21">
      <c r="A8" s="674"/>
      <c r="B8" s="677" t="s">
        <v>322</v>
      </c>
      <c r="C8" s="678"/>
      <c r="D8" s="678"/>
      <c r="E8" s="678"/>
      <c r="F8" s="678"/>
      <c r="G8" s="679" t="s">
        <v>331</v>
      </c>
      <c r="H8" s="707" t="s">
        <v>354</v>
      </c>
      <c r="I8" s="707"/>
      <c r="J8" s="707"/>
      <c r="K8" s="707"/>
      <c r="L8" s="707"/>
      <c r="M8" s="707"/>
      <c r="N8" s="707"/>
      <c r="O8" s="707"/>
      <c r="P8" s="707"/>
      <c r="Q8" s="707"/>
      <c r="R8" s="707"/>
    </row>
    <row r="9" spans="1:18" ht="33" customHeight="1" thickBot="1">
      <c r="A9" s="674"/>
      <c r="B9" s="680" t="s">
        <v>323</v>
      </c>
      <c r="C9" s="681"/>
      <c r="D9" s="681"/>
      <c r="E9" s="681"/>
      <c r="F9" s="681"/>
      <c r="G9" s="679" t="s">
        <v>331</v>
      </c>
      <c r="H9" s="707" t="s">
        <v>355</v>
      </c>
      <c r="I9" s="707"/>
      <c r="J9" s="707"/>
      <c r="K9" s="707"/>
      <c r="L9" s="707"/>
      <c r="M9" s="707"/>
      <c r="N9" s="707"/>
      <c r="O9" s="707"/>
      <c r="P9" s="707"/>
      <c r="Q9" s="707"/>
      <c r="R9" s="707"/>
    </row>
    <row r="10" spans="1:18" ht="19">
      <c r="A10" s="674"/>
      <c r="B10" s="682" t="s">
        <v>324</v>
      </c>
      <c r="C10" s="678"/>
      <c r="D10" s="678"/>
      <c r="E10" s="678"/>
      <c r="F10" s="678"/>
      <c r="G10" s="674"/>
      <c r="H10" s="674"/>
      <c r="I10" s="674"/>
      <c r="J10" s="674"/>
      <c r="K10" s="674"/>
      <c r="L10" s="674"/>
      <c r="M10" s="674"/>
      <c r="N10" s="674"/>
      <c r="O10" s="674"/>
      <c r="P10" s="674"/>
      <c r="Q10" s="674"/>
      <c r="R10" s="674"/>
    </row>
    <row r="11" spans="1:18" ht="41" customHeight="1">
      <c r="A11" s="674"/>
      <c r="B11" s="683" t="s">
        <v>325</v>
      </c>
      <c r="C11" s="678"/>
      <c r="D11" s="678"/>
      <c r="E11" s="678"/>
      <c r="F11" s="678"/>
      <c r="G11" s="679" t="s">
        <v>331</v>
      </c>
      <c r="H11" s="707" t="s">
        <v>359</v>
      </c>
      <c r="I11" s="707"/>
      <c r="J11" s="707"/>
      <c r="K11" s="707"/>
      <c r="L11" s="707"/>
      <c r="M11" s="707"/>
      <c r="N11" s="707"/>
      <c r="O11" s="707"/>
      <c r="P11" s="707"/>
      <c r="Q11" s="707"/>
      <c r="R11" s="707"/>
    </row>
    <row r="12" spans="1:18" ht="42" customHeight="1" thickBot="1">
      <c r="A12" s="674"/>
      <c r="B12" s="680" t="s">
        <v>326</v>
      </c>
      <c r="C12" s="681"/>
      <c r="D12" s="681"/>
      <c r="E12" s="681"/>
      <c r="F12" s="681"/>
      <c r="G12" s="679" t="s">
        <v>331</v>
      </c>
      <c r="H12" s="707" t="s">
        <v>373</v>
      </c>
      <c r="I12" s="707"/>
      <c r="J12" s="707"/>
      <c r="K12" s="707"/>
      <c r="L12" s="707"/>
      <c r="M12" s="707"/>
      <c r="N12" s="707"/>
      <c r="O12" s="707"/>
      <c r="P12" s="707"/>
      <c r="Q12" s="707"/>
      <c r="R12" s="707"/>
    </row>
    <row r="13" spans="1:18" ht="19">
      <c r="A13" s="674"/>
      <c r="B13" s="682" t="s">
        <v>327</v>
      </c>
      <c r="C13" s="678"/>
      <c r="D13" s="678"/>
      <c r="E13" s="678"/>
      <c r="F13" s="678"/>
      <c r="G13" s="674"/>
      <c r="H13" s="674"/>
      <c r="I13" s="674"/>
      <c r="J13" s="674"/>
      <c r="K13" s="674"/>
      <c r="L13" s="674"/>
      <c r="M13" s="674"/>
      <c r="N13" s="674"/>
      <c r="O13" s="674"/>
      <c r="P13" s="674"/>
      <c r="Q13" s="674"/>
      <c r="R13" s="674"/>
    </row>
    <row r="14" spans="1:18" ht="21">
      <c r="A14" s="674"/>
      <c r="B14" s="683" t="s">
        <v>328</v>
      </c>
      <c r="C14" s="678"/>
      <c r="D14" s="678"/>
      <c r="E14" s="678"/>
      <c r="F14" s="678"/>
      <c r="G14" s="679" t="s">
        <v>331</v>
      </c>
      <c r="H14" s="674" t="s">
        <v>374</v>
      </c>
      <c r="I14" s="674"/>
      <c r="J14" s="674"/>
      <c r="K14" s="674"/>
      <c r="L14" s="674"/>
      <c r="M14" s="674"/>
      <c r="N14" s="674"/>
      <c r="O14" s="674"/>
      <c r="P14" s="674"/>
      <c r="Q14" s="674"/>
      <c r="R14" s="674"/>
    </row>
    <row r="15" spans="1:18" ht="22" thickBot="1">
      <c r="A15" s="674"/>
      <c r="B15" s="680" t="s">
        <v>329</v>
      </c>
      <c r="C15" s="681"/>
      <c r="D15" s="681"/>
      <c r="E15" s="681"/>
      <c r="F15" s="681"/>
      <c r="G15" s="679" t="s">
        <v>331</v>
      </c>
      <c r="H15" s="674" t="s">
        <v>375</v>
      </c>
      <c r="I15" s="674"/>
      <c r="J15" s="674"/>
      <c r="K15" s="674"/>
      <c r="L15" s="674"/>
      <c r="M15" s="674"/>
      <c r="N15" s="674"/>
      <c r="O15" s="674"/>
      <c r="P15" s="674"/>
      <c r="Q15" s="674"/>
      <c r="R15" s="674"/>
    </row>
    <row r="16" spans="1:18" ht="19">
      <c r="A16" s="674"/>
      <c r="B16" s="682" t="s">
        <v>330</v>
      </c>
      <c r="C16" s="678"/>
      <c r="D16" s="678"/>
      <c r="E16" s="678"/>
      <c r="F16" s="678"/>
      <c r="G16" s="674"/>
      <c r="H16" s="674"/>
      <c r="I16" s="674"/>
      <c r="J16" s="674"/>
      <c r="K16" s="674"/>
      <c r="L16" s="674"/>
      <c r="M16" s="674"/>
      <c r="N16" s="674"/>
      <c r="O16" s="674"/>
      <c r="P16" s="674"/>
      <c r="Q16" s="674"/>
      <c r="R16" s="674"/>
    </row>
    <row r="17" spans="1:18">
      <c r="A17" s="704"/>
      <c r="B17" s="704"/>
      <c r="C17" s="704"/>
      <c r="D17" s="704"/>
      <c r="E17" s="704"/>
      <c r="F17" s="704"/>
      <c r="G17" s="704"/>
      <c r="H17" s="704"/>
      <c r="I17" s="704"/>
      <c r="J17" s="704"/>
      <c r="K17" s="704"/>
      <c r="L17" s="704"/>
      <c r="M17" s="704"/>
      <c r="N17" s="704"/>
      <c r="O17" s="704"/>
      <c r="P17" s="704"/>
      <c r="Q17" s="704"/>
      <c r="R17" s="704"/>
    </row>
    <row r="18" spans="1:18">
      <c r="A18" s="704" t="s">
        <v>407</v>
      </c>
      <c r="B18" s="704"/>
      <c r="C18" s="704"/>
      <c r="D18" s="704"/>
      <c r="E18" s="704"/>
      <c r="F18" s="704"/>
      <c r="G18" s="704"/>
      <c r="H18" s="704"/>
      <c r="I18" s="704"/>
      <c r="J18" s="704"/>
      <c r="K18" s="704"/>
      <c r="L18" s="704"/>
      <c r="M18" s="704"/>
      <c r="N18" s="704"/>
      <c r="O18" s="704"/>
      <c r="P18" s="704"/>
      <c r="Q18" s="704"/>
      <c r="R18" s="704"/>
    </row>
    <row r="19" spans="1:18">
      <c r="A19" s="704"/>
      <c r="B19" s="704"/>
      <c r="C19" s="704"/>
      <c r="D19" s="704"/>
      <c r="E19" s="704"/>
      <c r="F19" s="704"/>
      <c r="G19" s="704"/>
      <c r="H19" s="704"/>
      <c r="I19" s="704"/>
      <c r="J19" s="704"/>
      <c r="K19" s="704"/>
      <c r="L19" s="704"/>
      <c r="M19" s="704"/>
      <c r="N19" s="704"/>
      <c r="O19" s="704"/>
      <c r="P19" s="704"/>
      <c r="Q19" s="704"/>
      <c r="R19" s="704"/>
    </row>
    <row r="20" spans="1:18">
      <c r="A20" s="704"/>
      <c r="B20" s="704"/>
      <c r="C20" s="704"/>
      <c r="D20" s="704"/>
      <c r="E20" s="704"/>
      <c r="F20" s="704"/>
      <c r="G20" s="704"/>
      <c r="H20" s="704"/>
      <c r="I20" s="704"/>
      <c r="J20" s="704"/>
      <c r="K20" s="704"/>
      <c r="L20" s="704"/>
      <c r="M20" s="704"/>
      <c r="N20" s="704"/>
      <c r="O20" s="704"/>
      <c r="P20" s="704"/>
      <c r="Q20" s="704"/>
      <c r="R20" s="704"/>
    </row>
    <row r="21" spans="1:18">
      <c r="A21" s="704"/>
      <c r="B21" s="704"/>
      <c r="C21" s="704"/>
      <c r="D21" s="704"/>
      <c r="E21" s="704"/>
      <c r="F21" s="704"/>
      <c r="G21" s="704"/>
      <c r="H21" s="704"/>
      <c r="I21" s="704"/>
      <c r="J21" s="704"/>
      <c r="K21" s="704"/>
      <c r="L21" s="704"/>
      <c r="M21" s="704"/>
      <c r="N21" s="704"/>
      <c r="O21" s="704"/>
      <c r="P21" s="704"/>
      <c r="Q21" s="704"/>
      <c r="R21" s="704"/>
    </row>
    <row r="22" spans="1:18">
      <c r="A22" s="704"/>
      <c r="B22" s="704"/>
      <c r="C22" s="704"/>
      <c r="D22" s="704"/>
      <c r="E22" s="704"/>
      <c r="F22" s="704"/>
      <c r="G22" s="704"/>
      <c r="H22" s="704"/>
      <c r="I22" s="704"/>
      <c r="J22" s="704"/>
      <c r="K22" s="704"/>
      <c r="L22" s="704"/>
      <c r="M22" s="704"/>
      <c r="N22" s="704"/>
      <c r="O22" s="704"/>
      <c r="P22" s="704"/>
      <c r="Q22" s="704"/>
      <c r="R22" s="704"/>
    </row>
    <row r="23" spans="1:18">
      <c r="A23" s="704"/>
      <c r="B23" s="704"/>
      <c r="C23" s="704"/>
      <c r="D23" s="704"/>
      <c r="E23" s="704"/>
      <c r="F23" s="704"/>
      <c r="G23" s="704"/>
      <c r="H23" s="704"/>
      <c r="I23" s="704"/>
      <c r="J23" s="704"/>
      <c r="K23" s="704"/>
      <c r="L23" s="704"/>
      <c r="M23" s="704"/>
      <c r="N23" s="704"/>
      <c r="O23" s="704"/>
      <c r="P23" s="704"/>
      <c r="Q23" s="704"/>
      <c r="R23" s="704"/>
    </row>
    <row r="24" spans="1:18">
      <c r="A24" s="704"/>
      <c r="B24" s="704"/>
      <c r="C24" s="704"/>
      <c r="D24" s="704"/>
      <c r="E24" s="704"/>
      <c r="F24" s="704"/>
      <c r="G24" s="704"/>
      <c r="H24" s="704"/>
      <c r="I24" s="704"/>
      <c r="J24" s="704"/>
      <c r="K24" s="704"/>
      <c r="L24" s="704"/>
      <c r="M24" s="704"/>
      <c r="N24" s="704"/>
      <c r="O24" s="704"/>
      <c r="P24" s="704"/>
      <c r="Q24" s="704"/>
      <c r="R24" s="704"/>
    </row>
    <row r="25" spans="1:18">
      <c r="A25" s="704"/>
      <c r="B25" s="704"/>
      <c r="C25" s="704"/>
      <c r="D25" s="704"/>
      <c r="E25" s="704"/>
      <c r="F25" s="704"/>
      <c r="G25" s="704"/>
      <c r="H25" s="704"/>
      <c r="I25" s="704"/>
      <c r="J25" s="704"/>
      <c r="K25" s="704"/>
      <c r="L25" s="704"/>
      <c r="M25" s="704"/>
      <c r="N25" s="704"/>
      <c r="O25" s="704"/>
      <c r="P25" s="704"/>
      <c r="Q25" s="704"/>
      <c r="R25" s="704"/>
    </row>
    <row r="26" spans="1:18">
      <c r="A26" s="704"/>
      <c r="B26" s="704"/>
      <c r="C26" s="704"/>
      <c r="D26" s="704"/>
      <c r="E26" s="704"/>
      <c r="F26" s="704"/>
      <c r="G26" s="704"/>
      <c r="H26" s="704"/>
      <c r="I26" s="704"/>
      <c r="J26" s="704"/>
      <c r="K26" s="704"/>
      <c r="L26" s="704"/>
      <c r="M26" s="704"/>
      <c r="N26" s="704"/>
      <c r="O26" s="704"/>
      <c r="P26" s="704"/>
      <c r="Q26" s="704"/>
      <c r="R26" s="704"/>
    </row>
    <row r="27" spans="1:18">
      <c r="A27" s="704"/>
      <c r="B27" s="704"/>
      <c r="C27" s="704"/>
      <c r="D27" s="704"/>
      <c r="E27" s="704"/>
      <c r="F27" s="704"/>
      <c r="G27" s="704"/>
      <c r="H27" s="704"/>
      <c r="I27" s="704"/>
      <c r="J27" s="704"/>
      <c r="K27" s="704"/>
      <c r="L27" s="704"/>
      <c r="M27" s="704"/>
      <c r="N27" s="704"/>
      <c r="O27" s="704"/>
      <c r="P27" s="704"/>
      <c r="Q27" s="704"/>
      <c r="R27" s="704"/>
    </row>
    <row r="28" spans="1:18">
      <c r="A28" s="675"/>
      <c r="B28" s="675"/>
      <c r="C28" s="675"/>
      <c r="D28" s="675"/>
      <c r="E28" s="675"/>
      <c r="F28" s="675"/>
      <c r="G28" s="675"/>
      <c r="H28" s="675"/>
      <c r="I28" s="675"/>
      <c r="J28" s="675"/>
      <c r="K28" s="675"/>
      <c r="L28" s="675"/>
      <c r="M28" s="675"/>
      <c r="N28" s="675"/>
      <c r="O28" s="675"/>
      <c r="P28" s="675"/>
      <c r="Q28" s="675"/>
      <c r="R28" s="675"/>
    </row>
    <row r="29" spans="1:18">
      <c r="A29" s="675"/>
      <c r="B29" s="675"/>
      <c r="C29" s="675"/>
      <c r="D29" s="675"/>
      <c r="E29" s="675"/>
      <c r="F29" s="675"/>
      <c r="G29" s="675"/>
      <c r="H29" s="675"/>
      <c r="I29" s="675"/>
      <c r="J29" s="675"/>
      <c r="K29" s="675"/>
      <c r="L29" s="675"/>
      <c r="M29" s="675"/>
      <c r="N29" s="675"/>
      <c r="O29" s="675"/>
      <c r="P29" s="675"/>
      <c r="Q29" s="675"/>
      <c r="R29" s="675"/>
    </row>
    <row r="30" spans="1:18">
      <c r="A30" s="675"/>
      <c r="B30" s="675"/>
      <c r="C30" s="675"/>
      <c r="D30" s="675"/>
      <c r="E30" s="675"/>
      <c r="F30" s="675"/>
      <c r="G30" s="675"/>
      <c r="H30" s="675"/>
      <c r="I30" s="675"/>
      <c r="J30" s="675"/>
      <c r="K30" s="675"/>
      <c r="L30" s="675"/>
      <c r="M30" s="675"/>
      <c r="N30" s="675"/>
      <c r="O30" s="675"/>
      <c r="P30" s="675"/>
      <c r="Q30" s="675"/>
      <c r="R30" s="675"/>
    </row>
    <row r="31" spans="1:18">
      <c r="A31" s="675"/>
      <c r="B31" s="675"/>
      <c r="C31" s="675"/>
      <c r="D31" s="675"/>
      <c r="E31" s="675"/>
      <c r="F31" s="675"/>
      <c r="G31" s="675"/>
      <c r="H31" s="675"/>
      <c r="I31" s="675"/>
      <c r="J31" s="675"/>
      <c r="K31" s="675"/>
      <c r="L31" s="675"/>
      <c r="M31" s="675"/>
      <c r="N31" s="675"/>
      <c r="O31" s="675"/>
      <c r="P31" s="675"/>
      <c r="Q31" s="675"/>
      <c r="R31" s="675"/>
    </row>
    <row r="32" spans="1:18">
      <c r="A32" s="705" t="s">
        <v>408</v>
      </c>
      <c r="B32" s="705"/>
      <c r="C32" s="705"/>
      <c r="D32" s="705"/>
      <c r="E32" s="705"/>
      <c r="F32" s="705"/>
      <c r="G32" s="705"/>
      <c r="H32" s="705"/>
      <c r="I32" s="705"/>
      <c r="J32" s="705"/>
      <c r="K32" s="705"/>
      <c r="L32" s="705"/>
      <c r="M32" s="705"/>
      <c r="N32" s="705"/>
      <c r="O32" s="705"/>
      <c r="P32" s="705"/>
      <c r="Q32" s="705"/>
      <c r="R32" s="705"/>
    </row>
    <row r="33" spans="1:18">
      <c r="A33" s="705"/>
      <c r="B33" s="705"/>
      <c r="C33" s="705"/>
      <c r="D33" s="705"/>
      <c r="E33" s="705"/>
      <c r="F33" s="705"/>
      <c r="G33" s="705"/>
      <c r="H33" s="705"/>
      <c r="I33" s="705"/>
      <c r="J33" s="705"/>
      <c r="K33" s="705"/>
      <c r="L33" s="705"/>
      <c r="M33" s="705"/>
      <c r="N33" s="705"/>
      <c r="O33" s="705"/>
      <c r="P33" s="705"/>
      <c r="Q33" s="705"/>
      <c r="R33" s="705"/>
    </row>
    <row r="34" spans="1:18">
      <c r="A34" s="703"/>
      <c r="B34" s="703"/>
      <c r="C34" s="703"/>
      <c r="D34" s="703"/>
      <c r="E34" s="703"/>
      <c r="F34" s="703"/>
      <c r="G34" s="703"/>
      <c r="H34" s="703"/>
      <c r="I34" s="703"/>
      <c r="J34" s="703"/>
      <c r="K34" s="703"/>
      <c r="L34" s="703"/>
      <c r="M34" s="703"/>
      <c r="N34" s="703"/>
      <c r="O34" s="703"/>
      <c r="P34" s="703"/>
      <c r="Q34" s="703"/>
      <c r="R34" s="703"/>
    </row>
    <row r="36" spans="1:18" ht="21">
      <c r="A36" s="508" t="s">
        <v>333</v>
      </c>
    </row>
    <row r="38" spans="1:18" ht="212" customHeight="1">
      <c r="A38" s="685" t="s">
        <v>376</v>
      </c>
      <c r="B38" s="706" t="s">
        <v>402</v>
      </c>
      <c r="C38" s="706"/>
      <c r="D38" s="706"/>
      <c r="E38" s="706"/>
      <c r="F38" s="706"/>
      <c r="G38" s="706"/>
      <c r="H38" s="706"/>
      <c r="I38" s="706"/>
      <c r="J38" s="706"/>
      <c r="K38" s="706"/>
      <c r="L38" s="706"/>
      <c r="M38" s="706"/>
      <c r="N38" s="706"/>
      <c r="O38" s="706"/>
      <c r="P38" s="706"/>
      <c r="Q38" s="706"/>
      <c r="R38" s="706"/>
    </row>
    <row r="39" spans="1:18" ht="71" customHeight="1">
      <c r="A39" s="684" t="s">
        <v>377</v>
      </c>
      <c r="B39" s="709" t="s">
        <v>409</v>
      </c>
      <c r="C39" s="709"/>
      <c r="D39" s="709"/>
      <c r="E39" s="709"/>
      <c r="F39" s="709"/>
      <c r="G39" s="709"/>
      <c r="H39" s="709"/>
      <c r="I39" s="709"/>
      <c r="J39" s="709"/>
      <c r="K39" s="709"/>
      <c r="L39" s="709"/>
      <c r="M39" s="709"/>
      <c r="N39" s="709"/>
      <c r="O39" s="709"/>
      <c r="P39" s="709"/>
      <c r="Q39" s="709"/>
      <c r="R39" s="709"/>
    </row>
    <row r="40" spans="1:18" ht="52" customHeight="1">
      <c r="A40" s="685" t="s">
        <v>378</v>
      </c>
      <c r="B40" s="706" t="s">
        <v>379</v>
      </c>
      <c r="C40" s="706"/>
      <c r="D40" s="706"/>
      <c r="E40" s="706"/>
      <c r="F40" s="706"/>
      <c r="G40" s="706"/>
      <c r="H40" s="706"/>
      <c r="I40" s="706"/>
      <c r="J40" s="706"/>
      <c r="K40" s="706"/>
      <c r="L40" s="706"/>
      <c r="M40" s="706"/>
      <c r="N40" s="706"/>
      <c r="O40" s="706"/>
      <c r="P40" s="706"/>
      <c r="Q40" s="706"/>
      <c r="R40" s="706"/>
    </row>
    <row r="41" spans="1:18" ht="64" customHeight="1">
      <c r="A41" s="684" t="s">
        <v>380</v>
      </c>
      <c r="B41" s="708" t="s">
        <v>381</v>
      </c>
      <c r="C41" s="708"/>
      <c r="D41" s="708"/>
      <c r="E41" s="708"/>
      <c r="F41" s="708"/>
      <c r="G41" s="708"/>
      <c r="H41" s="708"/>
      <c r="I41" s="708"/>
      <c r="J41" s="708"/>
      <c r="K41" s="708"/>
      <c r="L41" s="708"/>
      <c r="M41" s="708"/>
      <c r="N41" s="708"/>
      <c r="O41" s="708"/>
      <c r="P41" s="708"/>
      <c r="Q41" s="708"/>
      <c r="R41" s="708"/>
    </row>
    <row r="42" spans="1:18" ht="40" customHeight="1">
      <c r="A42" s="685" t="s">
        <v>410</v>
      </c>
      <c r="B42" s="706" t="s">
        <v>411</v>
      </c>
      <c r="C42" s="706"/>
      <c r="D42" s="706"/>
      <c r="E42" s="706"/>
      <c r="F42" s="706"/>
      <c r="G42" s="706"/>
      <c r="H42" s="706"/>
      <c r="I42" s="706"/>
      <c r="J42" s="706"/>
      <c r="K42" s="706"/>
      <c r="L42" s="706"/>
      <c r="M42" s="706"/>
      <c r="N42" s="706"/>
      <c r="O42" s="706"/>
      <c r="P42" s="706"/>
      <c r="Q42" s="706"/>
      <c r="R42" s="706"/>
    </row>
  </sheetData>
  <mergeCells count="23">
    <mergeCell ref="B42:R42"/>
    <mergeCell ref="B41:R41"/>
    <mergeCell ref="H11:R11"/>
    <mergeCell ref="H12:R12"/>
    <mergeCell ref="B39:R39"/>
    <mergeCell ref="A17:R17"/>
    <mergeCell ref="A18:R18"/>
    <mergeCell ref="A19:R19"/>
    <mergeCell ref="A20:R20"/>
    <mergeCell ref="B40:R40"/>
    <mergeCell ref="A3:R3"/>
    <mergeCell ref="A5:R5"/>
    <mergeCell ref="H8:R8"/>
    <mergeCell ref="H9:R9"/>
    <mergeCell ref="B38:R38"/>
    <mergeCell ref="A26:R26"/>
    <mergeCell ref="A27:R27"/>
    <mergeCell ref="A32:R33"/>
    <mergeCell ref="A21:R21"/>
    <mergeCell ref="A22:R22"/>
    <mergeCell ref="A23:R23"/>
    <mergeCell ref="A24:R24"/>
    <mergeCell ref="A25:R25"/>
  </mergeCells>
  <hyperlinks>
    <hyperlink ref="I1" location="Supuestos!A1" display="Supuestos" xr:uid="{E30EF0FA-8FA9-7941-83C4-E91C67768318}"/>
    <hyperlink ref="J1" location="SALIDA!A1" display="SALIDA" xr:uid="{002A93CB-05BD-2744-9A15-155C85EB5049}"/>
    <hyperlink ref="K1" location="Gráficos!A1" display="Gráficos" xr:uid="{E54268A7-A4D3-2B4F-834D-E67A380D9D18}"/>
    <hyperlink ref="L1" location="'Cumplimiento de la regla'!A1" display="Cumplimiento de la regla" xr:uid="{C1287760-95F1-8540-857A-4B19B92928F4}"/>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5DB04-4A75-6E46-A89A-B1C3DE78A0FC}">
  <sheetPr codeName="Sheet13">
    <tabColor theme="4" tint="0.59999389629810485"/>
  </sheetPr>
  <dimension ref="A1:AP30"/>
  <sheetViews>
    <sheetView zoomScale="90" zoomScaleNormal="90" workbookViewId="0">
      <selection activeCell="A3" sqref="A3:N3"/>
    </sheetView>
  </sheetViews>
  <sheetFormatPr baseColWidth="10" defaultColWidth="10.83203125" defaultRowHeight="15"/>
  <cols>
    <col min="1" max="1" width="12.1640625" style="5" customWidth="1"/>
    <col min="2" max="2" width="19" style="5" customWidth="1"/>
    <col min="3" max="9" width="12.33203125" style="5" bestFit="1" customWidth="1"/>
    <col min="10" max="10" width="13.5" style="5" customWidth="1"/>
    <col min="11" max="17" width="12.33203125" style="5" bestFit="1" customWidth="1"/>
    <col min="18" max="20" width="11.1640625" style="5" bestFit="1" customWidth="1"/>
    <col min="21" max="21" width="12.33203125" style="5" bestFit="1" customWidth="1"/>
    <col min="22" max="23" width="11.1640625" style="5" bestFit="1" customWidth="1"/>
    <col min="24" max="25" width="12.33203125" style="5" bestFit="1" customWidth="1"/>
    <col min="26" max="28" width="11.1640625" style="5" bestFit="1" customWidth="1"/>
    <col min="29" max="29" width="12.33203125" style="5" bestFit="1" customWidth="1"/>
    <col min="30" max="30" width="11" style="5" bestFit="1" customWidth="1"/>
    <col min="31" max="31" width="11.1640625" style="5" bestFit="1" customWidth="1"/>
    <col min="32" max="40" width="9.5" style="5" bestFit="1" customWidth="1"/>
    <col min="41" max="42" width="11.1640625" style="5" bestFit="1" customWidth="1"/>
    <col min="43" max="16384" width="10.83203125" style="5"/>
  </cols>
  <sheetData>
    <row r="1" spans="1:42" ht="34">
      <c r="A1" s="515" t="s">
        <v>281</v>
      </c>
      <c r="E1" s="510" t="s">
        <v>319</v>
      </c>
      <c r="F1" s="511" t="s">
        <v>315</v>
      </c>
      <c r="G1" s="511" t="s">
        <v>285</v>
      </c>
      <c r="H1" s="511" t="s">
        <v>317</v>
      </c>
      <c r="I1" s="511" t="s">
        <v>318</v>
      </c>
      <c r="J1" s="511" t="s">
        <v>320</v>
      </c>
    </row>
    <row r="2" spans="1:42" ht="18">
      <c r="A2" s="513"/>
    </row>
    <row r="3" spans="1:42" ht="47.25" customHeight="1">
      <c r="A3" s="710" t="s">
        <v>321</v>
      </c>
      <c r="B3" s="710"/>
      <c r="C3" s="710"/>
      <c r="D3" s="710"/>
      <c r="E3" s="710"/>
      <c r="F3" s="710"/>
      <c r="G3" s="710"/>
      <c r="H3" s="710"/>
      <c r="I3" s="710"/>
      <c r="J3" s="710"/>
      <c r="K3" s="710"/>
      <c r="L3" s="710"/>
      <c r="M3" s="710"/>
      <c r="N3" s="710"/>
    </row>
    <row r="4" spans="1:42" ht="36" customHeight="1">
      <c r="A4" s="711" t="s">
        <v>282</v>
      </c>
      <c r="B4" s="711"/>
      <c r="C4" s="711"/>
      <c r="D4" s="711"/>
      <c r="E4" s="711"/>
      <c r="F4" s="711"/>
      <c r="G4" s="711"/>
      <c r="H4" s="711"/>
      <c r="I4" s="711"/>
      <c r="J4" s="711"/>
      <c r="K4" s="711"/>
      <c r="L4" s="711"/>
      <c r="M4" s="711"/>
      <c r="N4" s="711"/>
    </row>
    <row r="5" spans="1:42">
      <c r="A5" s="514" t="s">
        <v>231</v>
      </c>
    </row>
    <row r="7" spans="1:42">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row>
    <row r="8" spans="1:42">
      <c r="A8" s="213" t="s">
        <v>74</v>
      </c>
      <c r="B8" s="214"/>
      <c r="C8" s="215"/>
      <c r="D8" s="215"/>
      <c r="E8" s="215"/>
      <c r="F8" s="215"/>
      <c r="G8" s="215"/>
      <c r="H8" s="215"/>
      <c r="I8" s="215"/>
      <c r="J8" s="215"/>
      <c r="K8" s="215"/>
      <c r="L8" s="215"/>
      <c r="M8" s="215"/>
      <c r="N8" s="215"/>
      <c r="O8" s="215"/>
      <c r="P8" s="215"/>
      <c r="Q8" s="215"/>
      <c r="R8" s="215"/>
      <c r="S8" s="215"/>
      <c r="T8" s="215"/>
      <c r="U8" s="215"/>
      <c r="V8" s="215"/>
      <c r="W8" s="215"/>
      <c r="X8" s="215"/>
      <c r="Y8" s="215"/>
      <c r="Z8" s="215"/>
      <c r="AA8" s="215"/>
      <c r="AB8" s="215"/>
      <c r="AC8" s="215"/>
      <c r="AD8" s="215"/>
      <c r="AE8" s="215"/>
      <c r="AF8" s="215"/>
      <c r="AG8" s="215"/>
      <c r="AH8" s="215"/>
      <c r="AI8" s="215"/>
      <c r="AJ8" s="215"/>
      <c r="AK8" s="215"/>
      <c r="AL8" s="215"/>
      <c r="AM8" s="215"/>
      <c r="AN8" s="215"/>
      <c r="AO8" s="215"/>
      <c r="AP8" s="215"/>
    </row>
    <row r="9" spans="1:42">
      <c r="A9" s="213" t="s">
        <v>70</v>
      </c>
      <c r="B9" s="214"/>
      <c r="C9" s="215"/>
      <c r="D9" s="215"/>
      <c r="E9" s="215"/>
      <c r="F9" s="215"/>
      <c r="G9" s="215"/>
      <c r="H9" s="215"/>
      <c r="I9" s="215"/>
      <c r="J9" s="215"/>
      <c r="K9" s="215"/>
      <c r="L9" s="215"/>
      <c r="M9" s="215"/>
      <c r="N9" s="215"/>
      <c r="O9" s="215"/>
      <c r="P9" s="215"/>
      <c r="Q9" s="215"/>
      <c r="R9" s="215"/>
      <c r="S9" s="215"/>
      <c r="T9" s="215"/>
      <c r="U9" s="215"/>
      <c r="V9" s="215"/>
      <c r="W9" s="215"/>
      <c r="X9" s="215"/>
      <c r="Y9" s="215"/>
      <c r="Z9" s="215"/>
      <c r="AA9" s="215"/>
      <c r="AB9" s="215"/>
      <c r="AC9" s="215"/>
      <c r="AD9" s="215"/>
      <c r="AE9" s="215"/>
      <c r="AF9" s="215"/>
      <c r="AG9" s="215"/>
      <c r="AH9" s="215"/>
      <c r="AI9" s="215"/>
      <c r="AJ9" s="215"/>
      <c r="AK9" s="215"/>
      <c r="AL9" s="215"/>
      <c r="AM9" s="215"/>
      <c r="AN9" s="215"/>
      <c r="AO9" s="215"/>
      <c r="AP9" s="215"/>
    </row>
    <row r="10" spans="1:42">
      <c r="A10" s="20" t="s">
        <v>73</v>
      </c>
      <c r="B10" s="21" t="s">
        <v>75</v>
      </c>
      <c r="C10" s="22">
        <v>2023</v>
      </c>
      <c r="D10" s="22">
        <v>2024</v>
      </c>
      <c r="E10" s="22">
        <v>2025</v>
      </c>
      <c r="F10" s="22">
        <v>2026</v>
      </c>
      <c r="G10" s="22">
        <v>2027</v>
      </c>
      <c r="H10" s="22">
        <v>2028</v>
      </c>
      <c r="I10" s="22">
        <v>2029</v>
      </c>
      <c r="J10" s="22">
        <v>2030</v>
      </c>
      <c r="K10" s="22">
        <v>2031</v>
      </c>
      <c r="L10" s="22">
        <v>2032</v>
      </c>
      <c r="M10" s="22">
        <v>2033</v>
      </c>
      <c r="N10" s="22">
        <v>2034</v>
      </c>
      <c r="O10" s="22">
        <v>2035</v>
      </c>
      <c r="P10" s="22">
        <v>2036</v>
      </c>
      <c r="Q10" s="22">
        <v>2037</v>
      </c>
      <c r="R10" s="22">
        <v>2038</v>
      </c>
      <c r="S10" s="22">
        <v>2039</v>
      </c>
      <c r="T10" s="22">
        <v>2040</v>
      </c>
      <c r="U10" s="22">
        <v>2041</v>
      </c>
      <c r="V10" s="22">
        <v>2042</v>
      </c>
      <c r="W10" s="22">
        <v>2043</v>
      </c>
      <c r="X10" s="22">
        <v>2044</v>
      </c>
      <c r="Y10" s="22">
        <v>2045</v>
      </c>
      <c r="Z10" s="22">
        <v>2046</v>
      </c>
      <c r="AA10" s="22">
        <v>2047</v>
      </c>
      <c r="AB10" s="22">
        <v>2048</v>
      </c>
      <c r="AC10" s="22">
        <v>2049</v>
      </c>
      <c r="AD10" s="22">
        <v>2050</v>
      </c>
      <c r="AE10" s="22">
        <v>2051</v>
      </c>
      <c r="AF10" s="22">
        <v>2052</v>
      </c>
      <c r="AG10" s="22">
        <v>2053</v>
      </c>
      <c r="AH10" s="22">
        <v>2054</v>
      </c>
      <c r="AI10" s="22">
        <v>2055</v>
      </c>
      <c r="AJ10" s="22">
        <v>2056</v>
      </c>
      <c r="AK10" s="22">
        <v>2057</v>
      </c>
      <c r="AL10" s="22">
        <v>2058</v>
      </c>
      <c r="AM10" s="22">
        <v>2059</v>
      </c>
      <c r="AN10" s="22">
        <v>2060</v>
      </c>
      <c r="AO10" s="22">
        <v>2061</v>
      </c>
      <c r="AP10" s="23">
        <v>2062</v>
      </c>
    </row>
    <row r="11" spans="1:42">
      <c r="A11" s="179"/>
      <c r="B11" s="24" t="s">
        <v>63</v>
      </c>
      <c r="C11" s="689"/>
      <c r="D11" s="689"/>
      <c r="E11" s="689"/>
      <c r="F11" s="689"/>
      <c r="G11" s="689"/>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90"/>
    </row>
    <row r="12" spans="1:42">
      <c r="A12" s="688"/>
      <c r="B12" s="25" t="s">
        <v>28</v>
      </c>
      <c r="C12" s="689"/>
      <c r="D12" s="689"/>
      <c r="E12" s="689"/>
      <c r="F12" s="689"/>
      <c r="G12" s="689"/>
      <c r="H12" s="689"/>
      <c r="I12" s="689"/>
      <c r="J12" s="689"/>
      <c r="K12" s="689"/>
      <c r="L12" s="689"/>
      <c r="M12" s="689"/>
      <c r="N12" s="689"/>
      <c r="O12" s="689"/>
      <c r="P12" s="689"/>
      <c r="Q12" s="689"/>
      <c r="R12" s="689"/>
      <c r="S12" s="689"/>
      <c r="T12" s="689"/>
      <c r="U12" s="689"/>
      <c r="V12" s="689"/>
      <c r="W12" s="689"/>
      <c r="X12" s="689"/>
      <c r="Y12" s="689"/>
      <c r="Z12" s="689"/>
      <c r="AA12" s="689"/>
      <c r="AB12" s="689"/>
      <c r="AC12" s="689"/>
      <c r="AD12" s="689"/>
      <c r="AE12" s="689"/>
      <c r="AF12" s="689"/>
      <c r="AG12" s="689"/>
      <c r="AH12" s="689"/>
      <c r="AI12" s="689"/>
      <c r="AJ12" s="689"/>
      <c r="AK12" s="689"/>
      <c r="AL12" s="689"/>
      <c r="AM12" s="689"/>
      <c r="AN12" s="689"/>
      <c r="AO12" s="689"/>
      <c r="AP12" s="690"/>
    </row>
    <row r="13" spans="1:42">
      <c r="A13" s="26"/>
      <c r="B13" s="216" t="s">
        <v>76</v>
      </c>
      <c r="C13" s="691"/>
      <c r="D13" s="691"/>
      <c r="E13" s="691"/>
      <c r="F13" s="691"/>
      <c r="G13" s="691"/>
      <c r="H13" s="691"/>
      <c r="I13" s="691"/>
      <c r="J13" s="691"/>
      <c r="K13" s="691"/>
      <c r="L13" s="691"/>
      <c r="M13" s="691"/>
      <c r="N13" s="691"/>
      <c r="O13" s="691"/>
      <c r="P13" s="691"/>
      <c r="Q13" s="691"/>
      <c r="R13" s="691"/>
      <c r="S13" s="691"/>
      <c r="T13" s="691"/>
      <c r="U13" s="691"/>
      <c r="V13" s="691"/>
      <c r="W13" s="691"/>
      <c r="X13" s="691"/>
      <c r="Y13" s="691"/>
      <c r="Z13" s="691"/>
      <c r="AA13" s="691"/>
      <c r="AB13" s="691"/>
      <c r="AC13" s="691"/>
      <c r="AD13" s="691"/>
      <c r="AE13" s="691"/>
      <c r="AF13" s="691"/>
      <c r="AG13" s="691"/>
      <c r="AH13" s="691"/>
      <c r="AI13" s="691"/>
      <c r="AJ13" s="691"/>
      <c r="AK13" s="691"/>
      <c r="AL13" s="691"/>
      <c r="AM13" s="691"/>
      <c r="AN13" s="691"/>
      <c r="AO13" s="691"/>
      <c r="AP13" s="692"/>
    </row>
    <row r="14" spans="1:42">
      <c r="A14" s="13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row>
    <row r="15" spans="1:42">
      <c r="A15" s="213" t="s">
        <v>77</v>
      </c>
      <c r="B15" s="214"/>
      <c r="C15" s="215"/>
      <c r="D15" s="215"/>
      <c r="E15" s="215"/>
      <c r="F15" s="215"/>
      <c r="G15" s="215"/>
      <c r="H15" s="215"/>
      <c r="I15" s="215"/>
      <c r="J15" s="215"/>
      <c r="K15" s="215"/>
      <c r="L15" s="215"/>
      <c r="M15" s="215"/>
      <c r="N15" s="215"/>
      <c r="O15" s="215"/>
      <c r="P15" s="215"/>
      <c r="Q15" s="215"/>
      <c r="R15" s="215"/>
      <c r="S15" s="215"/>
      <c r="T15" s="215"/>
      <c r="U15" s="215"/>
      <c r="V15" s="215"/>
      <c r="W15" s="215"/>
      <c r="X15" s="215"/>
      <c r="Y15" s="215"/>
      <c r="Z15" s="215"/>
      <c r="AA15" s="215"/>
      <c r="AB15" s="215"/>
      <c r="AC15" s="215"/>
      <c r="AD15" s="215"/>
      <c r="AE15" s="215"/>
      <c r="AF15" s="215"/>
      <c r="AG15" s="215"/>
      <c r="AH15" s="215"/>
      <c r="AI15" s="215"/>
      <c r="AJ15" s="215"/>
      <c r="AK15" s="215"/>
      <c r="AL15" s="215"/>
      <c r="AM15" s="215"/>
      <c r="AN15" s="215"/>
      <c r="AO15" s="215"/>
      <c r="AP15" s="215"/>
    </row>
    <row r="16" spans="1:42">
      <c r="A16" s="213" t="s">
        <v>70</v>
      </c>
      <c r="B16" s="214"/>
      <c r="C16" s="215"/>
      <c r="D16" s="215"/>
      <c r="E16" s="215"/>
      <c r="F16" s="215"/>
      <c r="G16" s="215"/>
      <c r="H16" s="215"/>
      <c r="I16" s="215"/>
      <c r="J16" s="215"/>
      <c r="K16" s="215"/>
      <c r="L16" s="215"/>
      <c r="M16" s="215"/>
      <c r="N16" s="215"/>
      <c r="O16" s="215"/>
      <c r="P16" s="215"/>
      <c r="Q16" s="215"/>
      <c r="R16" s="215"/>
      <c r="S16" s="215"/>
      <c r="T16" s="215"/>
      <c r="U16" s="215"/>
      <c r="V16" s="215"/>
      <c r="W16" s="215"/>
      <c r="X16" s="215"/>
      <c r="Y16" s="215"/>
      <c r="Z16" s="215"/>
      <c r="AA16" s="215"/>
      <c r="AB16" s="215"/>
      <c r="AC16" s="215"/>
      <c r="AD16" s="215"/>
      <c r="AE16" s="215"/>
      <c r="AF16" s="215"/>
      <c r="AG16" s="215"/>
      <c r="AH16" s="215"/>
      <c r="AI16" s="215"/>
      <c r="AJ16" s="215"/>
      <c r="AK16" s="215"/>
      <c r="AL16" s="215"/>
      <c r="AM16" s="215"/>
      <c r="AN16" s="215"/>
      <c r="AO16" s="215"/>
      <c r="AP16" s="215"/>
    </row>
    <row r="17" spans="1:42">
      <c r="A17" s="20" t="s">
        <v>73</v>
      </c>
      <c r="B17" s="21" t="s">
        <v>75</v>
      </c>
      <c r="C17" s="22">
        <v>2023</v>
      </c>
      <c r="D17" s="22">
        <v>2024</v>
      </c>
      <c r="E17" s="22">
        <v>2025</v>
      </c>
      <c r="F17" s="22">
        <v>2026</v>
      </c>
      <c r="G17" s="22">
        <v>2027</v>
      </c>
      <c r="H17" s="22">
        <v>2028</v>
      </c>
      <c r="I17" s="22">
        <v>2029</v>
      </c>
      <c r="J17" s="22">
        <v>2030</v>
      </c>
      <c r="K17" s="22">
        <v>2031</v>
      </c>
      <c r="L17" s="22">
        <v>2032</v>
      </c>
      <c r="M17" s="22">
        <v>2033</v>
      </c>
      <c r="N17" s="22">
        <v>2034</v>
      </c>
      <c r="O17" s="22">
        <v>2035</v>
      </c>
      <c r="P17" s="22">
        <v>2036</v>
      </c>
      <c r="Q17" s="22">
        <v>2037</v>
      </c>
      <c r="R17" s="22">
        <v>2038</v>
      </c>
      <c r="S17" s="22">
        <v>2039</v>
      </c>
      <c r="T17" s="22">
        <v>2040</v>
      </c>
      <c r="U17" s="22">
        <v>2041</v>
      </c>
      <c r="V17" s="22">
        <v>2042</v>
      </c>
      <c r="W17" s="22">
        <v>2043</v>
      </c>
      <c r="X17" s="22">
        <v>2044</v>
      </c>
      <c r="Y17" s="22">
        <v>2045</v>
      </c>
      <c r="Z17" s="22">
        <v>2046</v>
      </c>
      <c r="AA17" s="22">
        <v>2047</v>
      </c>
      <c r="AB17" s="22">
        <v>2048</v>
      </c>
      <c r="AC17" s="22">
        <v>2049</v>
      </c>
      <c r="AD17" s="22">
        <v>2050</v>
      </c>
      <c r="AE17" s="22">
        <v>2051</v>
      </c>
      <c r="AF17" s="22">
        <v>2052</v>
      </c>
      <c r="AG17" s="22">
        <v>2053</v>
      </c>
      <c r="AH17" s="22">
        <v>2054</v>
      </c>
      <c r="AI17" s="22">
        <v>2055</v>
      </c>
      <c r="AJ17" s="22">
        <v>2056</v>
      </c>
      <c r="AK17" s="22">
        <v>2057</v>
      </c>
      <c r="AL17" s="22">
        <v>2058</v>
      </c>
      <c r="AM17" s="22">
        <v>2059</v>
      </c>
      <c r="AN17" s="22">
        <v>2060</v>
      </c>
      <c r="AO17" s="22">
        <v>2061</v>
      </c>
      <c r="AP17" s="23">
        <v>2062</v>
      </c>
    </row>
    <row r="18" spans="1:42">
      <c r="A18" s="179"/>
      <c r="B18" s="24" t="s">
        <v>63</v>
      </c>
      <c r="C18" s="689"/>
      <c r="D18" s="689"/>
      <c r="E18" s="689"/>
      <c r="F18" s="689"/>
      <c r="G18" s="689"/>
      <c r="H18" s="689"/>
      <c r="I18" s="689"/>
      <c r="J18" s="689"/>
      <c r="K18" s="689"/>
      <c r="L18" s="689"/>
      <c r="M18" s="689"/>
      <c r="N18" s="689"/>
      <c r="O18" s="689"/>
      <c r="P18" s="689"/>
      <c r="Q18" s="689"/>
      <c r="R18" s="689"/>
      <c r="S18" s="689"/>
      <c r="T18" s="689"/>
      <c r="U18" s="689"/>
      <c r="V18" s="689"/>
      <c r="W18" s="689"/>
      <c r="X18" s="689"/>
      <c r="Y18" s="689"/>
      <c r="Z18" s="689"/>
      <c r="AA18" s="689"/>
      <c r="AB18" s="689"/>
      <c r="AC18" s="689"/>
      <c r="AD18" s="689"/>
      <c r="AE18" s="689"/>
      <c r="AF18" s="689"/>
      <c r="AG18" s="689"/>
      <c r="AH18" s="689"/>
      <c r="AI18" s="689"/>
      <c r="AJ18" s="689"/>
      <c r="AK18" s="689"/>
      <c r="AL18" s="689"/>
      <c r="AM18" s="689"/>
      <c r="AN18" s="689"/>
      <c r="AO18" s="689"/>
      <c r="AP18" s="690"/>
    </row>
    <row r="19" spans="1:42">
      <c r="A19" s="688"/>
      <c r="B19" s="25" t="s">
        <v>28</v>
      </c>
      <c r="C19" s="689"/>
      <c r="D19" s="689"/>
      <c r="E19" s="689"/>
      <c r="F19" s="689"/>
      <c r="G19" s="689"/>
      <c r="H19" s="689"/>
      <c r="I19" s="689"/>
      <c r="J19" s="689"/>
      <c r="K19" s="689"/>
      <c r="L19" s="689"/>
      <c r="M19" s="689"/>
      <c r="N19" s="689"/>
      <c r="O19" s="689"/>
      <c r="P19" s="689"/>
      <c r="Q19" s="689"/>
      <c r="R19" s="689"/>
      <c r="S19" s="689"/>
      <c r="T19" s="689"/>
      <c r="U19" s="689"/>
      <c r="V19" s="689"/>
      <c r="W19" s="689"/>
      <c r="X19" s="689"/>
      <c r="Y19" s="689"/>
      <c r="Z19" s="689"/>
      <c r="AA19" s="689"/>
      <c r="AB19" s="689"/>
      <c r="AC19" s="689"/>
      <c r="AD19" s="689"/>
      <c r="AE19" s="689"/>
      <c r="AF19" s="689"/>
      <c r="AG19" s="689"/>
      <c r="AH19" s="689"/>
      <c r="AI19" s="689"/>
      <c r="AJ19" s="689"/>
      <c r="AK19" s="689"/>
      <c r="AL19" s="689"/>
      <c r="AM19" s="689"/>
      <c r="AN19" s="689"/>
      <c r="AO19" s="689"/>
      <c r="AP19" s="690"/>
    </row>
    <row r="20" spans="1:42">
      <c r="A20" s="26"/>
      <c r="B20" s="216" t="s">
        <v>76</v>
      </c>
      <c r="C20" s="691"/>
      <c r="D20" s="691"/>
      <c r="E20" s="691"/>
      <c r="F20" s="691"/>
      <c r="G20" s="691"/>
      <c r="H20" s="691"/>
      <c r="I20" s="691"/>
      <c r="J20" s="691"/>
      <c r="K20" s="691"/>
      <c r="L20" s="691"/>
      <c r="M20" s="691"/>
      <c r="N20" s="691"/>
      <c r="O20" s="691"/>
      <c r="P20" s="691"/>
      <c r="Q20" s="691"/>
      <c r="R20" s="691"/>
      <c r="S20" s="691"/>
      <c r="T20" s="691"/>
      <c r="U20" s="691"/>
      <c r="V20" s="691"/>
      <c r="W20" s="691"/>
      <c r="X20" s="691"/>
      <c r="Y20" s="691"/>
      <c r="Z20" s="691"/>
      <c r="AA20" s="691"/>
      <c r="AB20" s="691"/>
      <c r="AC20" s="691"/>
      <c r="AD20" s="691"/>
      <c r="AE20" s="691"/>
      <c r="AF20" s="691"/>
      <c r="AG20" s="691"/>
      <c r="AH20" s="691"/>
      <c r="AI20" s="691"/>
      <c r="AJ20" s="691"/>
      <c r="AK20" s="691"/>
      <c r="AL20" s="691"/>
      <c r="AM20" s="691"/>
      <c r="AN20" s="691"/>
      <c r="AO20" s="691"/>
      <c r="AP20" s="692"/>
    </row>
    <row r="21" spans="1:42">
      <c r="C21" s="27"/>
      <c r="D21" s="27"/>
      <c r="E21" s="27"/>
      <c r="F21" s="27"/>
      <c r="G21" s="27"/>
      <c r="H21" s="27"/>
    </row>
    <row r="22" spans="1:42">
      <c r="A22" s="213" t="s">
        <v>77</v>
      </c>
      <c r="B22" s="214"/>
      <c r="C22" s="215"/>
      <c r="D22" s="215"/>
      <c r="E22" s="215"/>
      <c r="F22" s="215"/>
      <c r="G22" s="215"/>
      <c r="H22" s="215"/>
      <c r="I22" s="215"/>
      <c r="J22" s="215"/>
      <c r="K22" s="215"/>
      <c r="L22" s="215"/>
      <c r="M22" s="215"/>
      <c r="N22" s="215"/>
      <c r="O22" s="215"/>
      <c r="P22" s="215"/>
      <c r="Q22" s="215"/>
      <c r="R22" s="215"/>
      <c r="S22" s="215"/>
      <c r="T22" s="215"/>
      <c r="U22" s="215"/>
      <c r="V22" s="215"/>
      <c r="W22" s="215"/>
      <c r="X22" s="215"/>
      <c r="Y22" s="215"/>
      <c r="Z22" s="215"/>
      <c r="AA22" s="215"/>
      <c r="AB22" s="215"/>
      <c r="AC22" s="215"/>
      <c r="AD22" s="215"/>
      <c r="AE22" s="215"/>
      <c r="AF22" s="215"/>
      <c r="AG22" s="215"/>
      <c r="AH22" s="215"/>
      <c r="AI22" s="215"/>
      <c r="AJ22" s="215"/>
      <c r="AK22" s="215"/>
      <c r="AL22" s="215"/>
      <c r="AM22" s="215"/>
      <c r="AN22" s="215"/>
      <c r="AO22" s="215"/>
      <c r="AP22" s="215"/>
    </row>
    <row r="23" spans="1:42">
      <c r="A23" s="213" t="s">
        <v>188</v>
      </c>
      <c r="B23" s="214"/>
      <c r="C23" s="215"/>
      <c r="D23" s="215"/>
      <c r="E23" s="215"/>
      <c r="F23" s="215"/>
      <c r="G23" s="215"/>
      <c r="H23" s="215"/>
      <c r="I23" s="215"/>
      <c r="J23" s="215"/>
      <c r="K23" s="215"/>
      <c r="L23" s="215"/>
      <c r="M23" s="215"/>
      <c r="N23" s="215"/>
      <c r="O23" s="215"/>
      <c r="P23" s="215"/>
      <c r="Q23" s="215"/>
      <c r="R23" s="215"/>
      <c r="S23" s="215"/>
      <c r="T23" s="215"/>
      <c r="U23" s="215"/>
      <c r="V23" s="215"/>
      <c r="W23" s="215"/>
      <c r="X23" s="215"/>
      <c r="Y23" s="215"/>
      <c r="Z23" s="215"/>
      <c r="AA23" s="215"/>
      <c r="AB23" s="215"/>
      <c r="AC23" s="215"/>
      <c r="AD23" s="215"/>
      <c r="AE23" s="215"/>
      <c r="AF23" s="215"/>
      <c r="AG23" s="215"/>
      <c r="AH23" s="215"/>
      <c r="AI23" s="215"/>
      <c r="AJ23" s="215"/>
      <c r="AK23" s="215"/>
      <c r="AL23" s="215"/>
      <c r="AM23" s="215"/>
      <c r="AN23" s="215"/>
      <c r="AO23" s="215"/>
      <c r="AP23" s="215"/>
    </row>
    <row r="24" spans="1:42">
      <c r="A24" s="20" t="s">
        <v>73</v>
      </c>
      <c r="B24" s="21" t="s">
        <v>75</v>
      </c>
      <c r="C24" s="22">
        <v>2023</v>
      </c>
      <c r="D24" s="22">
        <v>2024</v>
      </c>
      <c r="E24" s="22">
        <v>2025</v>
      </c>
      <c r="F24" s="22">
        <v>2026</v>
      </c>
      <c r="G24" s="22">
        <v>2027</v>
      </c>
      <c r="H24" s="22">
        <v>2028</v>
      </c>
      <c r="I24" s="22">
        <v>2029</v>
      </c>
      <c r="J24" s="22">
        <v>2030</v>
      </c>
      <c r="K24" s="22">
        <v>2031</v>
      </c>
      <c r="L24" s="22">
        <v>2032</v>
      </c>
      <c r="M24" s="22">
        <v>2033</v>
      </c>
      <c r="N24" s="22">
        <v>2034</v>
      </c>
      <c r="O24" s="22">
        <v>2035</v>
      </c>
      <c r="P24" s="22">
        <v>2036</v>
      </c>
      <c r="Q24" s="22">
        <v>2037</v>
      </c>
      <c r="R24" s="22">
        <v>2038</v>
      </c>
      <c r="S24" s="22">
        <v>2039</v>
      </c>
      <c r="T24" s="22">
        <v>2040</v>
      </c>
      <c r="U24" s="22">
        <v>2041</v>
      </c>
      <c r="V24" s="22">
        <v>2042</v>
      </c>
      <c r="W24" s="22">
        <v>2043</v>
      </c>
      <c r="X24" s="22">
        <v>2044</v>
      </c>
      <c r="Y24" s="22">
        <v>2045</v>
      </c>
      <c r="Z24" s="22">
        <v>2046</v>
      </c>
      <c r="AA24" s="22">
        <v>2047</v>
      </c>
      <c r="AB24" s="22">
        <v>2048</v>
      </c>
      <c r="AC24" s="22">
        <v>2049</v>
      </c>
      <c r="AD24" s="22">
        <v>2050</v>
      </c>
      <c r="AE24" s="22">
        <v>2051</v>
      </c>
      <c r="AF24" s="22">
        <v>2052</v>
      </c>
      <c r="AG24" s="22">
        <v>2053</v>
      </c>
      <c r="AH24" s="22">
        <v>2054</v>
      </c>
      <c r="AI24" s="22">
        <v>2055</v>
      </c>
      <c r="AJ24" s="22">
        <v>2056</v>
      </c>
      <c r="AK24" s="22">
        <v>2057</v>
      </c>
      <c r="AL24" s="22">
        <v>2058</v>
      </c>
      <c r="AM24" s="22">
        <v>2059</v>
      </c>
      <c r="AN24" s="22">
        <v>2060</v>
      </c>
      <c r="AO24" s="22">
        <v>2061</v>
      </c>
      <c r="AP24" s="23">
        <v>2062</v>
      </c>
    </row>
    <row r="25" spans="1:42">
      <c r="A25" s="179"/>
      <c r="B25" s="24" t="s">
        <v>63</v>
      </c>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90"/>
    </row>
    <row r="26" spans="1:42">
      <c r="A26" s="688"/>
      <c r="B26" s="25" t="s">
        <v>28</v>
      </c>
      <c r="C26" s="689"/>
      <c r="D26" s="689"/>
      <c r="E26" s="689"/>
      <c r="F26" s="689"/>
      <c r="G26" s="689"/>
      <c r="H26" s="689"/>
      <c r="I26" s="689"/>
      <c r="J26" s="689"/>
      <c r="K26" s="689"/>
      <c r="L26" s="689"/>
      <c r="M26" s="689"/>
      <c r="N26" s="689"/>
      <c r="O26" s="689"/>
      <c r="P26" s="689"/>
      <c r="Q26" s="689"/>
      <c r="R26" s="689"/>
      <c r="S26" s="689"/>
      <c r="T26" s="689"/>
      <c r="U26" s="689"/>
      <c r="V26" s="689"/>
      <c r="W26" s="689"/>
      <c r="X26" s="689"/>
      <c r="Y26" s="689"/>
      <c r="Z26" s="689"/>
      <c r="AA26" s="689"/>
      <c r="AB26" s="689"/>
      <c r="AC26" s="689"/>
      <c r="AD26" s="689"/>
      <c r="AE26" s="689"/>
      <c r="AF26" s="689"/>
      <c r="AG26" s="689"/>
      <c r="AH26" s="689"/>
      <c r="AI26" s="689"/>
      <c r="AJ26" s="689"/>
      <c r="AK26" s="689"/>
      <c r="AL26" s="689"/>
      <c r="AM26" s="689"/>
      <c r="AN26" s="689"/>
      <c r="AO26" s="689"/>
      <c r="AP26" s="690"/>
    </row>
    <row r="27" spans="1:42">
      <c r="A27" s="26"/>
      <c r="B27" s="216" t="s">
        <v>76</v>
      </c>
      <c r="C27" s="691"/>
      <c r="D27" s="691"/>
      <c r="E27" s="691"/>
      <c r="F27" s="691"/>
      <c r="G27" s="691"/>
      <c r="H27" s="691"/>
      <c r="I27" s="691"/>
      <c r="J27" s="691"/>
      <c r="K27" s="691"/>
      <c r="L27" s="691"/>
      <c r="M27" s="691"/>
      <c r="N27" s="691"/>
      <c r="O27" s="691"/>
      <c r="P27" s="691"/>
      <c r="Q27" s="691"/>
      <c r="R27" s="691"/>
      <c r="S27" s="691"/>
      <c r="T27" s="691"/>
      <c r="U27" s="691"/>
      <c r="V27" s="691"/>
      <c r="W27" s="691"/>
      <c r="X27" s="691"/>
      <c r="Y27" s="691"/>
      <c r="Z27" s="691"/>
      <c r="AA27" s="691"/>
      <c r="AB27" s="691"/>
      <c r="AC27" s="691"/>
      <c r="AD27" s="691"/>
      <c r="AE27" s="691"/>
      <c r="AF27" s="691"/>
      <c r="AG27" s="691"/>
      <c r="AH27" s="691"/>
      <c r="AI27" s="691"/>
      <c r="AJ27" s="691"/>
      <c r="AK27" s="691"/>
      <c r="AL27" s="691"/>
      <c r="AM27" s="691"/>
      <c r="AN27" s="691"/>
      <c r="AO27" s="691"/>
      <c r="AP27" s="692"/>
    </row>
    <row r="30" spans="1:42">
      <c r="C30" s="10"/>
      <c r="D30" s="10"/>
      <c r="E30" s="10"/>
      <c r="F30" s="10"/>
      <c r="G30" s="10"/>
      <c r="H30" s="10"/>
      <c r="I30" s="10"/>
      <c r="J30" s="10"/>
      <c r="K30" s="10"/>
      <c r="L30" s="10"/>
      <c r="M30" s="10"/>
      <c r="N30" s="10"/>
      <c r="O30" s="10"/>
      <c r="P30" s="10"/>
      <c r="Q30" s="10"/>
      <c r="R30" s="10"/>
      <c r="S30" s="10"/>
      <c r="T30" s="10"/>
      <c r="U30" s="10"/>
    </row>
  </sheetData>
  <mergeCells count="2">
    <mergeCell ref="A3:N3"/>
    <mergeCell ref="A4:N4"/>
  </mergeCells>
  <hyperlinks>
    <hyperlink ref="A5" r:id="rId1" xr:uid="{354701A8-8EB7-214A-A9F3-5473B938C484}"/>
    <hyperlink ref="J1" location="'Cumplimiento de la regla'!A1" display="Cumplimiento de la regla" xr:uid="{C8EB6BDC-A44A-654D-877E-22B0E041B81B}"/>
    <hyperlink ref="F1" location="Introducción!A1" display="Introducción" xr:uid="{D8169AB9-8015-7048-BEE5-EA52804EC8AA}"/>
    <hyperlink ref="I1" location="Gráficos!A1" display="Gráficos" xr:uid="{E02B3567-AE98-124E-8D59-57B14EA9236D}"/>
    <hyperlink ref="H1" location="SALIDA!A1" display="SALIDA" xr:uid="{38ABA65F-277C-E648-84CC-2209A994DEB6}"/>
    <hyperlink ref="G1" location="Supuestos!A1" display="Supuestos" xr:uid="{B9E0DCB2-3B33-6448-9032-A85FCF74AB93}"/>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18801-A846-A34A-B3E8-C3BDB24A932D}">
  <sheetPr codeName="Sheet14">
    <tabColor theme="4" tint="0.59999389629810485"/>
  </sheetPr>
  <dimension ref="A1:M32"/>
  <sheetViews>
    <sheetView zoomScale="90" zoomScaleNormal="90" workbookViewId="0">
      <selection activeCell="B28" sqref="B28"/>
    </sheetView>
  </sheetViews>
  <sheetFormatPr baseColWidth="10" defaultColWidth="10.83203125" defaultRowHeight="15"/>
  <cols>
    <col min="1" max="1" width="17.5" style="11" bestFit="1" customWidth="1"/>
    <col min="2" max="13" width="13" style="5" customWidth="1"/>
    <col min="14" max="15" width="14.6640625" style="5" customWidth="1"/>
    <col min="16" max="16384" width="10.83203125" style="5"/>
  </cols>
  <sheetData>
    <row r="1" spans="1:13" ht="34">
      <c r="A1" s="512" t="s">
        <v>286</v>
      </c>
      <c r="H1" s="510" t="s">
        <v>319</v>
      </c>
      <c r="I1" s="511" t="s">
        <v>315</v>
      </c>
      <c r="J1" s="511" t="s">
        <v>285</v>
      </c>
      <c r="K1" s="511" t="s">
        <v>317</v>
      </c>
      <c r="L1" s="511" t="s">
        <v>318</v>
      </c>
      <c r="M1" s="511" t="s">
        <v>320</v>
      </c>
    </row>
    <row r="2" spans="1:13" ht="18">
      <c r="A2" s="512"/>
    </row>
    <row r="3" spans="1:13" ht="38.25" customHeight="1">
      <c r="A3" s="715" t="s">
        <v>284</v>
      </c>
      <c r="B3" s="715"/>
      <c r="C3" s="715"/>
      <c r="D3" s="715"/>
      <c r="E3" s="715"/>
      <c r="F3" s="715"/>
      <c r="G3" s="715"/>
      <c r="H3" s="715"/>
      <c r="I3" s="715"/>
      <c r="J3" s="715"/>
      <c r="K3" s="715"/>
      <c r="L3" s="715"/>
      <c r="M3" s="715"/>
    </row>
    <row r="4" spans="1:13">
      <c r="A4" s="537"/>
      <c r="B4" s="517"/>
      <c r="C4" s="517"/>
      <c r="D4" s="517"/>
      <c r="E4" s="517"/>
      <c r="F4" s="517"/>
      <c r="G4" s="517"/>
      <c r="H4" s="517"/>
      <c r="I4" s="517"/>
      <c r="J4" s="517"/>
      <c r="K4" s="517"/>
      <c r="L4" s="517"/>
      <c r="M4" s="517"/>
    </row>
    <row r="5" spans="1:13" ht="16">
      <c r="A5" s="538" t="s">
        <v>360</v>
      </c>
      <c r="B5" s="517"/>
      <c r="C5" s="517"/>
      <c r="D5" s="517"/>
      <c r="E5" s="517"/>
      <c r="F5" s="517"/>
      <c r="G5" s="517"/>
      <c r="H5" s="517"/>
      <c r="I5" s="517"/>
      <c r="J5" s="517"/>
      <c r="K5" s="517"/>
      <c r="L5" s="517"/>
      <c r="M5" s="517"/>
    </row>
    <row r="6" spans="1:13" ht="16">
      <c r="A6" s="539" t="s">
        <v>148</v>
      </c>
      <c r="B6" s="517"/>
      <c r="C6" s="517"/>
      <c r="D6" s="517"/>
      <c r="E6" s="517"/>
      <c r="F6" s="517"/>
      <c r="G6" s="517"/>
      <c r="H6" s="517"/>
      <c r="I6" s="517"/>
      <c r="J6" s="517"/>
      <c r="K6" s="517"/>
      <c r="L6" s="517"/>
      <c r="M6" s="517"/>
    </row>
    <row r="7" spans="1:13">
      <c r="A7" s="19"/>
    </row>
    <row r="8" spans="1:13" ht="16">
      <c r="A8" s="2" t="s">
        <v>147</v>
      </c>
    </row>
    <row r="9" spans="1:13">
      <c r="A9" s="127" t="s">
        <v>83</v>
      </c>
    </row>
    <row r="10" spans="1:13">
      <c r="A10" s="28" t="s">
        <v>219</v>
      </c>
      <c r="B10" s="698"/>
      <c r="C10" s="29"/>
      <c r="D10" s="30"/>
      <c r="E10" s="30"/>
      <c r="F10" s="30"/>
      <c r="G10" s="31" t="s">
        <v>82</v>
      </c>
      <c r="H10" s="699"/>
      <c r="J10" s="31"/>
      <c r="K10" s="32"/>
    </row>
    <row r="11" spans="1:13" ht="32">
      <c r="A11" s="217" t="s">
        <v>221</v>
      </c>
      <c r="B11" s="217" t="s">
        <v>78</v>
      </c>
      <c r="C11" s="217"/>
      <c r="D11" s="217" t="s">
        <v>79</v>
      </c>
      <c r="E11" s="217" t="s">
        <v>84</v>
      </c>
      <c r="F11" s="217" t="s">
        <v>85</v>
      </c>
      <c r="G11" s="217" t="s">
        <v>86</v>
      </c>
      <c r="H11" s="217" t="s">
        <v>80</v>
      </c>
      <c r="J11" s="224" t="s">
        <v>136</v>
      </c>
      <c r="K11" s="224" t="s">
        <v>166</v>
      </c>
    </row>
    <row r="12" spans="1:13">
      <c r="A12" s="714" t="s">
        <v>222</v>
      </c>
      <c r="B12" s="712" t="s">
        <v>72</v>
      </c>
      <c r="C12" s="712"/>
      <c r="D12" s="323"/>
      <c r="E12" s="324"/>
      <c r="F12" s="325"/>
      <c r="G12" s="326"/>
      <c r="H12" s="327"/>
      <c r="J12" s="33" t="e">
        <f t="shared" ref="J12:J19" si="0">H12/$H$10</f>
        <v>#DIV/0!</v>
      </c>
      <c r="K12" s="5">
        <f t="shared" ref="K12:K19" si="1">+YEAR(D12)</f>
        <v>1900</v>
      </c>
    </row>
    <row r="13" spans="1:13">
      <c r="A13" s="714"/>
      <c r="B13" s="712"/>
      <c r="C13" s="712"/>
      <c r="D13" s="323"/>
      <c r="E13" s="328"/>
      <c r="F13" s="325"/>
      <c r="G13" s="326"/>
      <c r="H13" s="327"/>
      <c r="J13" s="33" t="e">
        <f t="shared" si="0"/>
        <v>#DIV/0!</v>
      </c>
      <c r="K13" s="5">
        <f t="shared" si="1"/>
        <v>1900</v>
      </c>
    </row>
    <row r="14" spans="1:13">
      <c r="A14" s="714"/>
      <c r="B14" s="712"/>
      <c r="C14" s="712"/>
      <c r="D14" s="323"/>
      <c r="E14" s="324"/>
      <c r="F14" s="325"/>
      <c r="G14" s="326"/>
      <c r="H14" s="327"/>
      <c r="J14" s="33" t="e">
        <f t="shared" si="0"/>
        <v>#DIV/0!</v>
      </c>
      <c r="K14" s="5">
        <f t="shared" si="1"/>
        <v>1900</v>
      </c>
    </row>
    <row r="15" spans="1:13">
      <c r="A15" s="714"/>
      <c r="B15" s="712"/>
      <c r="C15" s="712"/>
      <c r="D15" s="323"/>
      <c r="E15" s="328"/>
      <c r="F15" s="325"/>
      <c r="G15" s="326"/>
      <c r="H15" s="327"/>
      <c r="J15" s="33" t="e">
        <f t="shared" si="0"/>
        <v>#DIV/0!</v>
      </c>
      <c r="K15" s="5">
        <f t="shared" si="1"/>
        <v>1900</v>
      </c>
    </row>
    <row r="16" spans="1:13">
      <c r="A16" s="714"/>
      <c r="B16" s="712"/>
      <c r="C16" s="712"/>
      <c r="D16" s="323"/>
      <c r="E16" s="324"/>
      <c r="F16" s="325"/>
      <c r="G16" s="326"/>
      <c r="H16" s="327"/>
      <c r="J16" s="33" t="e">
        <f t="shared" si="0"/>
        <v>#DIV/0!</v>
      </c>
      <c r="K16" s="5">
        <f t="shared" si="1"/>
        <v>1900</v>
      </c>
    </row>
    <row r="17" spans="1:13">
      <c r="A17" s="714"/>
      <c r="B17" s="712"/>
      <c r="C17" s="712"/>
      <c r="D17" s="323"/>
      <c r="E17" s="328"/>
      <c r="F17" s="325"/>
      <c r="G17" s="326"/>
      <c r="H17" s="327"/>
      <c r="J17" s="33" t="e">
        <f t="shared" si="0"/>
        <v>#DIV/0!</v>
      </c>
      <c r="K17" s="5">
        <f t="shared" si="1"/>
        <v>1900</v>
      </c>
    </row>
    <row r="18" spans="1:13">
      <c r="A18" s="714"/>
      <c r="B18" s="712"/>
      <c r="C18" s="712"/>
      <c r="D18" s="323"/>
      <c r="E18" s="324"/>
      <c r="F18" s="325"/>
      <c r="G18" s="326"/>
      <c r="H18" s="327"/>
      <c r="J18" s="33" t="e">
        <f t="shared" si="0"/>
        <v>#DIV/0!</v>
      </c>
      <c r="K18" s="5">
        <f t="shared" si="1"/>
        <v>1900</v>
      </c>
    </row>
    <row r="19" spans="1:13">
      <c r="A19" s="714"/>
      <c r="B19" s="712"/>
      <c r="C19" s="712"/>
      <c r="D19" s="323"/>
      <c r="E19" s="328"/>
      <c r="F19" s="325"/>
      <c r="G19" s="326"/>
      <c r="H19" s="327"/>
      <c r="J19" s="33" t="e">
        <f t="shared" si="0"/>
        <v>#DIV/0!</v>
      </c>
      <c r="K19" s="5">
        <f t="shared" si="1"/>
        <v>1900</v>
      </c>
    </row>
    <row r="20" spans="1:13" ht="18" customHeight="1">
      <c r="A20" s="218"/>
      <c r="B20" s="713" t="s">
        <v>81</v>
      </c>
      <c r="C20" s="713"/>
      <c r="D20" s="713"/>
      <c r="E20" s="713"/>
      <c r="F20" s="713"/>
      <c r="G20" s="713"/>
      <c r="H20" s="219">
        <f>SUM(H12:H19)</f>
        <v>0</v>
      </c>
      <c r="J20" s="223" t="e">
        <f>H20/$H$10</f>
        <v>#DIV/0!</v>
      </c>
      <c r="K20" s="130"/>
    </row>
    <row r="21" spans="1:13">
      <c r="A21" s="5"/>
    </row>
    <row r="22" spans="1:13">
      <c r="A22" s="5"/>
    </row>
    <row r="23" spans="1:13">
      <c r="A23" s="11" t="s">
        <v>220</v>
      </c>
    </row>
    <row r="24" spans="1:13" ht="16">
      <c r="A24" s="220" t="s">
        <v>137</v>
      </c>
      <c r="B24" s="221">
        <v>2023</v>
      </c>
      <c r="C24" s="221">
        <v>2024</v>
      </c>
      <c r="D24" s="221">
        <v>2025</v>
      </c>
      <c r="E24" s="221">
        <v>2026</v>
      </c>
      <c r="F24" s="221">
        <v>2027</v>
      </c>
      <c r="G24" s="221">
        <v>2028</v>
      </c>
      <c r="H24" s="221">
        <v>2029</v>
      </c>
      <c r="I24" s="221">
        <v>2030</v>
      </c>
      <c r="J24" s="221">
        <v>2031</v>
      </c>
      <c r="K24" s="221">
        <v>2032</v>
      </c>
      <c r="L24" s="221">
        <v>2033</v>
      </c>
      <c r="M24" s="221">
        <v>2034</v>
      </c>
    </row>
    <row r="25" spans="1:13" ht="16">
      <c r="A25" s="128" t="s">
        <v>134</v>
      </c>
      <c r="B25" s="36">
        <f>Supuestos!E14</f>
        <v>324.39330000000001</v>
      </c>
      <c r="C25" s="36">
        <f>Supuestos!F14</f>
        <v>324.39330000000001</v>
      </c>
      <c r="D25" s="36">
        <f>Supuestos!G14</f>
        <v>324.39330000000001</v>
      </c>
      <c r="E25" s="36">
        <f>Supuestos!H14</f>
        <v>324.39330000000001</v>
      </c>
      <c r="F25" s="36">
        <f>Supuestos!I14</f>
        <v>324.39330000000001</v>
      </c>
      <c r="G25" s="36">
        <f>Supuestos!J14</f>
        <v>324.39330000000001</v>
      </c>
      <c r="H25" s="36">
        <f>Supuestos!K14</f>
        <v>324.39330000000001</v>
      </c>
      <c r="I25" s="36">
        <f>Supuestos!L14</f>
        <v>324.39330000000001</v>
      </c>
      <c r="J25" s="36">
        <f>Supuestos!M14</f>
        <v>324.39330000000001</v>
      </c>
      <c r="K25" s="36">
        <f>Supuestos!N14</f>
        <v>324.39330000000001</v>
      </c>
      <c r="L25" s="36">
        <f>Supuestos!O14</f>
        <v>324.39330000000001</v>
      </c>
      <c r="M25" s="36">
        <f>Supuestos!P14</f>
        <v>324.39330000000001</v>
      </c>
    </row>
    <row r="26" spans="1:13" ht="16">
      <c r="A26" s="128" t="s">
        <v>72</v>
      </c>
      <c r="B26" s="36">
        <f>Supuestos!F14</f>
        <v>324.39330000000001</v>
      </c>
      <c r="C26" s="36">
        <f>Supuestos!G14</f>
        <v>324.39330000000001</v>
      </c>
      <c r="D26" s="36">
        <f>Supuestos!H14</f>
        <v>324.39330000000001</v>
      </c>
      <c r="E26" s="36">
        <f>Supuestos!I14</f>
        <v>324.39330000000001</v>
      </c>
      <c r="F26" s="36">
        <f>Supuestos!J14</f>
        <v>324.39330000000001</v>
      </c>
      <c r="G26" s="36">
        <f>Supuestos!K14</f>
        <v>324.39330000000001</v>
      </c>
      <c r="H26" s="36">
        <f>Supuestos!L14</f>
        <v>324.39330000000001</v>
      </c>
      <c r="I26" s="36">
        <f>Supuestos!M14</f>
        <v>324.39330000000001</v>
      </c>
      <c r="J26" s="36">
        <f>Supuestos!N14</f>
        <v>324.39330000000001</v>
      </c>
      <c r="K26" s="36">
        <f>Supuestos!O14</f>
        <v>324.39330000000001</v>
      </c>
      <c r="L26" s="36">
        <f>Supuestos!P14</f>
        <v>324.39330000000001</v>
      </c>
      <c r="M26" s="36">
        <f>Supuestos!Q14</f>
        <v>324.39330000000001</v>
      </c>
    </row>
    <row r="27" spans="1:13" ht="16">
      <c r="A27" s="128" t="s">
        <v>135</v>
      </c>
      <c r="B27" s="36">
        <f t="shared" ref="B27:L27" si="2">+B26-B25</f>
        <v>0</v>
      </c>
      <c r="C27" s="36">
        <f t="shared" si="2"/>
        <v>0</v>
      </c>
      <c r="D27" s="36">
        <f t="shared" si="2"/>
        <v>0</v>
      </c>
      <c r="E27" s="36">
        <f t="shared" si="2"/>
        <v>0</v>
      </c>
      <c r="F27" s="36">
        <f t="shared" si="2"/>
        <v>0</v>
      </c>
      <c r="G27" s="36">
        <f t="shared" si="2"/>
        <v>0</v>
      </c>
      <c r="H27" s="36">
        <f t="shared" si="2"/>
        <v>0</v>
      </c>
      <c r="I27" s="36">
        <f t="shared" si="2"/>
        <v>0</v>
      </c>
      <c r="J27" s="36">
        <f t="shared" si="2"/>
        <v>0</v>
      </c>
      <c r="K27" s="36">
        <f t="shared" si="2"/>
        <v>0</v>
      </c>
      <c r="L27" s="36">
        <f t="shared" si="2"/>
        <v>0</v>
      </c>
      <c r="M27" s="36">
        <f t="shared" ref="M27" si="3">+M26-M25</f>
        <v>0</v>
      </c>
    </row>
    <row r="28" spans="1:13" ht="48">
      <c r="A28" s="128" t="s">
        <v>223</v>
      </c>
      <c r="B28" s="129" t="e">
        <f>SUM($J12:$J19)</f>
        <v>#DIV/0!</v>
      </c>
      <c r="C28" s="129" t="e">
        <f>SUM($J13:$J19)</f>
        <v>#DIV/0!</v>
      </c>
      <c r="D28" s="129" t="e">
        <f>SUM($J14:$J19)</f>
        <v>#DIV/0!</v>
      </c>
      <c r="E28" s="129" t="e">
        <f>SUM($J14:$J19)</f>
        <v>#DIV/0!</v>
      </c>
      <c r="F28" s="129" t="e">
        <f>SUM($J15:$J19)</f>
        <v>#DIV/0!</v>
      </c>
      <c r="G28" s="129" t="e">
        <f>SUM($J15:$J19)</f>
        <v>#DIV/0!</v>
      </c>
      <c r="H28" s="129" t="e">
        <f>SUM($J16:$J19)</f>
        <v>#DIV/0!</v>
      </c>
      <c r="I28" s="129" t="e">
        <f>SUM($J16:$J19)</f>
        <v>#DIV/0!</v>
      </c>
      <c r="J28" s="129" t="e">
        <f>SUM($J16:$J19)</f>
        <v>#DIV/0!</v>
      </c>
      <c r="K28" s="129" t="e">
        <f>SUM($J16:$J19)</f>
        <v>#DIV/0!</v>
      </c>
      <c r="L28" s="129" t="e">
        <f>SUM($J17:$J19)</f>
        <v>#DIV/0!</v>
      </c>
      <c r="M28" s="129" t="e">
        <f>SUM($J17:$J19)</f>
        <v>#DIV/0!</v>
      </c>
    </row>
    <row r="29" spans="1:13" ht="16">
      <c r="A29" s="220" t="s">
        <v>129</v>
      </c>
      <c r="B29" s="222" t="e">
        <f>+B28*B27</f>
        <v>#DIV/0!</v>
      </c>
      <c r="C29" s="222" t="e">
        <f>+C28*C27</f>
        <v>#DIV/0!</v>
      </c>
      <c r="D29" s="222" t="e">
        <f t="shared" ref="D29:L29" si="4">+D28*D27</f>
        <v>#DIV/0!</v>
      </c>
      <c r="E29" s="222" t="e">
        <f t="shared" si="4"/>
        <v>#DIV/0!</v>
      </c>
      <c r="F29" s="222" t="e">
        <f t="shared" si="4"/>
        <v>#DIV/0!</v>
      </c>
      <c r="G29" s="222" t="e">
        <f t="shared" si="4"/>
        <v>#DIV/0!</v>
      </c>
      <c r="H29" s="222" t="e">
        <f t="shared" si="4"/>
        <v>#DIV/0!</v>
      </c>
      <c r="I29" s="222" t="e">
        <f t="shared" si="4"/>
        <v>#DIV/0!</v>
      </c>
      <c r="J29" s="222" t="e">
        <f t="shared" si="4"/>
        <v>#DIV/0!</v>
      </c>
      <c r="K29" s="222" t="e">
        <f t="shared" si="4"/>
        <v>#DIV/0!</v>
      </c>
      <c r="L29" s="222" t="e">
        <f t="shared" si="4"/>
        <v>#DIV/0!</v>
      </c>
      <c r="M29" s="222" t="e">
        <f t="shared" ref="M29" si="5">+M28*M27</f>
        <v>#DIV/0!</v>
      </c>
    </row>
    <row r="30" spans="1:13">
      <c r="A30" s="37"/>
      <c r="B30" s="37"/>
      <c r="C30" s="37"/>
      <c r="D30" s="37"/>
      <c r="E30" s="37"/>
      <c r="F30" s="37"/>
      <c r="G30" s="37"/>
      <c r="H30" s="37"/>
      <c r="I30" s="37"/>
      <c r="J30" s="37"/>
      <c r="K30" s="37"/>
      <c r="L30" s="37"/>
    </row>
    <row r="31" spans="1:13" ht="42" customHeight="1">
      <c r="A31" s="710" t="s">
        <v>361</v>
      </c>
      <c r="B31" s="710"/>
      <c r="C31" s="710"/>
      <c r="D31" s="710"/>
      <c r="E31" s="710"/>
      <c r="F31" s="710"/>
      <c r="G31" s="710"/>
      <c r="H31" s="710"/>
      <c r="I31" s="710"/>
      <c r="J31" s="710"/>
      <c r="K31" s="710"/>
      <c r="L31" s="710"/>
      <c r="M31" s="710"/>
    </row>
    <row r="32" spans="1:13">
      <c r="A32" s="5"/>
    </row>
  </sheetData>
  <mergeCells count="5">
    <mergeCell ref="B12:C19"/>
    <mergeCell ref="B20:G20"/>
    <mergeCell ref="A12:A19"/>
    <mergeCell ref="A31:M31"/>
    <mergeCell ref="A3:M3"/>
  </mergeCells>
  <hyperlinks>
    <hyperlink ref="A6" r:id="rId1" xr:uid="{300259BC-46F8-6641-80E7-AA0F3C79A101}"/>
    <hyperlink ref="M1" location="'Cumplimiento de la regla'!A1" display="Cumplimiento de la regla" xr:uid="{B45C1F95-1C85-5348-A774-191F229D5BAC}"/>
    <hyperlink ref="I1" location="Introducción!A1" display="Introducción" xr:uid="{C680F084-6022-A74D-A6D0-136945018AAE}"/>
    <hyperlink ref="L1" location="Gráficos!A1" display="Gráficos" xr:uid="{4AEFE861-5803-E740-A54F-C88D2091013F}"/>
    <hyperlink ref="K1" location="SALIDA!A1" display="SALIDA" xr:uid="{C3E617D6-A5CB-A142-8BA1-226EFB2960F1}"/>
    <hyperlink ref="J1" location="Supuestos!A1" display="Supuestos" xr:uid="{37DAE7C1-94C0-B547-A163-80AA48C186D8}"/>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3EF96-AFCE-C64D-BEF5-D69A5B30BB64}">
  <sheetPr codeName="Sheet8">
    <tabColor theme="4" tint="0.59999389629810485"/>
  </sheetPr>
  <dimension ref="A1:O44"/>
  <sheetViews>
    <sheetView zoomScale="90" zoomScaleNormal="90" workbookViewId="0">
      <selection activeCell="B13" sqref="B13"/>
    </sheetView>
  </sheetViews>
  <sheetFormatPr baseColWidth="10" defaultColWidth="10.83203125" defaultRowHeight="15"/>
  <cols>
    <col min="1" max="1" width="27.33203125" style="5" customWidth="1"/>
    <col min="2" max="2" width="15.33203125" style="5" bestFit="1" customWidth="1"/>
    <col min="3" max="3" width="8.5" style="5" bestFit="1" customWidth="1"/>
    <col min="4" max="4" width="30.1640625" style="5" customWidth="1"/>
    <col min="5" max="5" width="15.33203125" style="5" bestFit="1" customWidth="1"/>
    <col min="6" max="6" width="8.5" style="5" bestFit="1" customWidth="1"/>
    <col min="7" max="7" width="12" style="5" customWidth="1"/>
    <col min="8" max="8" width="16.1640625" style="5" customWidth="1"/>
    <col min="9" max="9" width="11" style="5" bestFit="1" customWidth="1"/>
    <col min="10" max="10" width="10.83203125" style="5"/>
    <col min="11" max="11" width="15.33203125" style="5" customWidth="1"/>
    <col min="12" max="16384" width="10.83203125" style="5"/>
  </cols>
  <sheetData>
    <row r="1" spans="1:15" ht="34">
      <c r="A1" s="512" t="s">
        <v>283</v>
      </c>
      <c r="F1" s="510" t="s">
        <v>319</v>
      </c>
      <c r="G1" s="511" t="s">
        <v>315</v>
      </c>
      <c r="H1" s="511" t="s">
        <v>285</v>
      </c>
      <c r="I1" s="511" t="s">
        <v>317</v>
      </c>
      <c r="J1" s="511" t="s">
        <v>318</v>
      </c>
      <c r="K1" s="511" t="s">
        <v>320</v>
      </c>
    </row>
    <row r="3" spans="1:15" ht="59" customHeight="1">
      <c r="A3" s="717" t="s">
        <v>358</v>
      </c>
      <c r="B3" s="715"/>
      <c r="C3" s="715"/>
      <c r="D3" s="715"/>
      <c r="E3" s="715"/>
      <c r="F3" s="715"/>
      <c r="G3" s="715"/>
      <c r="H3" s="715"/>
      <c r="I3" s="715"/>
      <c r="J3" s="715"/>
      <c r="K3" s="715"/>
      <c r="L3" s="431"/>
    </row>
    <row r="4" spans="1:15" ht="6" customHeight="1">
      <c r="A4" s="517"/>
      <c r="B4" s="517"/>
      <c r="C4" s="517"/>
      <c r="D4" s="517"/>
      <c r="E4" s="517"/>
      <c r="F4" s="517"/>
      <c r="G4" s="517"/>
      <c r="H4" s="517"/>
      <c r="I4" s="517"/>
      <c r="J4" s="517"/>
      <c r="K4" s="517"/>
    </row>
    <row r="5" spans="1:15" ht="35" customHeight="1">
      <c r="A5" s="718" t="s">
        <v>334</v>
      </c>
      <c r="B5" s="718"/>
      <c r="C5" s="718"/>
      <c r="D5" s="718"/>
      <c r="E5" s="718"/>
      <c r="F5" s="718"/>
      <c r="G5" s="718"/>
      <c r="H5" s="718"/>
      <c r="I5" s="718"/>
      <c r="J5" s="718"/>
      <c r="K5" s="718"/>
    </row>
    <row r="7" spans="1:15" ht="17">
      <c r="A7" s="225" t="s">
        <v>69</v>
      </c>
      <c r="B7" s="6"/>
      <c r="C7" s="6"/>
      <c r="D7" s="6"/>
      <c r="E7" s="6"/>
      <c r="F7" s="6"/>
    </row>
    <row r="8" spans="1:15">
      <c r="A8" s="6"/>
      <c r="B8" s="7"/>
      <c r="C8" s="6"/>
      <c r="D8" s="6"/>
      <c r="E8" s="8"/>
      <c r="F8" s="7"/>
      <c r="H8" s="540" t="s">
        <v>356</v>
      </c>
    </row>
    <row r="9" spans="1:15">
      <c r="A9" s="180" t="s">
        <v>55</v>
      </c>
      <c r="B9" s="181" t="s">
        <v>163</v>
      </c>
      <c r="C9" s="182">
        <f>C11+C16+C20+C22</f>
        <v>0</v>
      </c>
      <c r="D9" s="180" t="s">
        <v>56</v>
      </c>
      <c r="E9" s="181" t="s">
        <v>163</v>
      </c>
      <c r="F9" s="182">
        <f>F11+F20+F16+F22</f>
        <v>0</v>
      </c>
      <c r="H9" s="517" t="s">
        <v>217</v>
      </c>
      <c r="I9" s="518" t="e">
        <f>+F14/E14*1000</f>
        <v>#DIV/0!</v>
      </c>
      <c r="L9" s="523"/>
    </row>
    <row r="10" spans="1:15">
      <c r="A10" s="183"/>
      <c r="B10" s="184"/>
      <c r="C10" s="185"/>
      <c r="D10" s="200"/>
      <c r="E10" s="201"/>
      <c r="F10" s="185"/>
      <c r="I10" s="10"/>
    </row>
    <row r="11" spans="1:15" ht="16">
      <c r="A11" s="186" t="s">
        <v>57</v>
      </c>
      <c r="B11" s="187"/>
      <c r="C11" s="693"/>
      <c r="D11" s="186" t="s">
        <v>51</v>
      </c>
      <c r="E11" s="187"/>
      <c r="F11" s="693"/>
      <c r="G11" s="10"/>
      <c r="H11" s="521" t="s">
        <v>335</v>
      </c>
      <c r="I11" s="522"/>
    </row>
    <row r="12" spans="1:15">
      <c r="A12" s="188" t="s">
        <v>58</v>
      </c>
      <c r="B12" s="761">
        <v>0</v>
      </c>
      <c r="C12" s="694"/>
      <c r="D12" s="202" t="s">
        <v>59</v>
      </c>
      <c r="E12" s="203"/>
      <c r="F12" s="204"/>
      <c r="H12" s="12" t="s">
        <v>214</v>
      </c>
      <c r="I12" s="13">
        <f>I15-I13</f>
        <v>0</v>
      </c>
    </row>
    <row r="13" spans="1:15">
      <c r="A13" s="190"/>
      <c r="B13" s="191"/>
      <c r="C13" s="192"/>
      <c r="D13" s="205" t="s">
        <v>60</v>
      </c>
      <c r="E13" s="206"/>
      <c r="F13" s="696"/>
      <c r="H13" s="132" t="s">
        <v>215</v>
      </c>
      <c r="I13" s="541"/>
      <c r="K13" s="716" t="s">
        <v>357</v>
      </c>
      <c r="L13" s="716"/>
      <c r="M13" s="716"/>
      <c r="N13" s="716"/>
      <c r="O13" s="716"/>
    </row>
    <row r="14" spans="1:15">
      <c r="A14" s="188" t="s">
        <v>62</v>
      </c>
      <c r="B14" s="193"/>
      <c r="C14" s="694"/>
      <c r="D14" s="205" t="s">
        <v>61</v>
      </c>
      <c r="E14" s="762">
        <v>0</v>
      </c>
      <c r="F14" s="696"/>
      <c r="H14" s="93" t="s">
        <v>129</v>
      </c>
      <c r="I14" s="697"/>
      <c r="J14" s="14"/>
      <c r="K14" s="716"/>
      <c r="L14" s="716"/>
      <c r="M14" s="716"/>
      <c r="N14" s="716"/>
      <c r="O14" s="716"/>
    </row>
    <row r="15" spans="1:15">
      <c r="A15" s="194"/>
      <c r="B15" s="195"/>
      <c r="C15" s="192"/>
      <c r="D15" s="196"/>
      <c r="F15" s="197"/>
      <c r="H15" s="15" t="s">
        <v>216</v>
      </c>
      <c r="I15" s="16">
        <f>F13</f>
        <v>0</v>
      </c>
      <c r="J15" s="14"/>
      <c r="K15" s="716"/>
      <c r="L15" s="716"/>
      <c r="M15" s="716"/>
      <c r="N15" s="716"/>
      <c r="O15" s="716"/>
    </row>
    <row r="16" spans="1:15">
      <c r="A16" s="186" t="s">
        <v>159</v>
      </c>
      <c r="B16" s="187"/>
      <c r="C16" s="693"/>
      <c r="D16" s="186" t="s">
        <v>63</v>
      </c>
      <c r="E16" s="187"/>
      <c r="F16" s="693"/>
      <c r="J16" s="10"/>
      <c r="K16" s="716"/>
      <c r="L16" s="716"/>
      <c r="M16" s="716"/>
      <c r="N16" s="716"/>
      <c r="O16" s="716"/>
    </row>
    <row r="17" spans="1:15">
      <c r="A17" s="194"/>
      <c r="B17" s="195"/>
      <c r="C17" s="192"/>
      <c r="D17" s="208" t="s">
        <v>64</v>
      </c>
      <c r="E17" s="762">
        <v>0</v>
      </c>
      <c r="F17" s="696"/>
      <c r="H17" s="177"/>
      <c r="I17" s="178"/>
      <c r="J17" s="10"/>
      <c r="K17" s="716"/>
      <c r="L17" s="716"/>
      <c r="M17" s="716"/>
      <c r="N17" s="716"/>
      <c r="O17" s="716"/>
    </row>
    <row r="18" spans="1:15">
      <c r="A18" s="196"/>
      <c r="C18" s="197"/>
      <c r="D18" s="208" t="s">
        <v>65</v>
      </c>
      <c r="E18" s="206"/>
      <c r="F18" s="696"/>
      <c r="H18" s="177"/>
      <c r="I18" s="178"/>
      <c r="J18" s="10"/>
      <c r="K18" s="716"/>
      <c r="L18" s="716"/>
      <c r="M18" s="716"/>
      <c r="N18" s="716"/>
      <c r="O18" s="716"/>
    </row>
    <row r="19" spans="1:15">
      <c r="A19" s="196"/>
      <c r="C19" s="197"/>
      <c r="D19" s="209"/>
      <c r="E19" s="210"/>
      <c r="F19" s="211"/>
      <c r="I19" s="33"/>
      <c r="J19" s="33"/>
      <c r="K19" s="716"/>
      <c r="L19" s="716"/>
      <c r="M19" s="716"/>
      <c r="N19" s="716"/>
      <c r="O19" s="716"/>
    </row>
    <row r="20" spans="1:15">
      <c r="A20" s="186" t="s">
        <v>66</v>
      </c>
      <c r="B20" s="187"/>
      <c r="C20" s="693"/>
      <c r="D20" s="186" t="s">
        <v>164</v>
      </c>
      <c r="E20" s="187"/>
      <c r="F20" s="693"/>
      <c r="J20" s="33"/>
      <c r="K20" s="716"/>
      <c r="L20" s="716"/>
      <c r="M20" s="716"/>
      <c r="N20" s="716"/>
      <c r="O20" s="716"/>
    </row>
    <row r="21" spans="1:15">
      <c r="A21" s="196"/>
      <c r="C21" s="197"/>
      <c r="D21" s="212"/>
      <c r="E21" s="203"/>
      <c r="F21" s="204"/>
      <c r="K21" s="716"/>
      <c r="L21" s="716"/>
      <c r="M21" s="716"/>
      <c r="N21" s="716"/>
      <c r="O21" s="716"/>
    </row>
    <row r="22" spans="1:15">
      <c r="A22" s="198" t="s">
        <v>67</v>
      </c>
      <c r="B22" s="199"/>
      <c r="C22" s="695"/>
      <c r="D22" s="198" t="s">
        <v>68</v>
      </c>
      <c r="E22" s="199"/>
      <c r="F22" s="695"/>
      <c r="G22" s="10"/>
      <c r="H22" s="10"/>
      <c r="K22" s="716"/>
      <c r="L22" s="716"/>
      <c r="M22" s="716"/>
      <c r="N22" s="716"/>
      <c r="O22" s="716"/>
    </row>
    <row r="23" spans="1:15">
      <c r="A23" s="542" t="s">
        <v>384</v>
      </c>
      <c r="F23" s="10"/>
      <c r="G23" s="10"/>
      <c r="K23" s="716"/>
      <c r="L23" s="716"/>
      <c r="M23" s="716"/>
      <c r="N23" s="716"/>
      <c r="O23" s="716"/>
    </row>
    <row r="24" spans="1:15">
      <c r="G24" s="10"/>
      <c r="K24" s="716"/>
      <c r="L24" s="716"/>
      <c r="M24" s="716"/>
      <c r="N24" s="716"/>
      <c r="O24" s="716"/>
    </row>
    <row r="25" spans="1:15">
      <c r="G25" s="10"/>
      <c r="K25" s="716"/>
      <c r="L25" s="716"/>
      <c r="M25" s="716"/>
      <c r="N25" s="716"/>
      <c r="O25" s="716"/>
    </row>
    <row r="26" spans="1:15" ht="17">
      <c r="A26" s="225" t="s">
        <v>230</v>
      </c>
      <c r="B26" s="6"/>
      <c r="C26" s="6"/>
      <c r="D26" s="6"/>
      <c r="E26" s="6"/>
      <c r="F26" s="6"/>
      <c r="K26" s="716"/>
      <c r="L26" s="716"/>
      <c r="M26" s="716"/>
      <c r="N26" s="716"/>
      <c r="O26" s="716"/>
    </row>
    <row r="27" spans="1:15">
      <c r="A27" s="6"/>
      <c r="C27" s="6"/>
      <c r="D27" s="6"/>
      <c r="E27" s="8"/>
      <c r="F27" s="7"/>
      <c r="K27" s="716"/>
      <c r="L27" s="716"/>
      <c r="M27" s="716"/>
      <c r="N27" s="716"/>
      <c r="O27" s="716"/>
    </row>
    <row r="28" spans="1:15">
      <c r="A28" s="180" t="s">
        <v>55</v>
      </c>
      <c r="B28" s="181" t="s">
        <v>163</v>
      </c>
      <c r="C28" s="182">
        <f>C30++C35+C39+C41</f>
        <v>0</v>
      </c>
      <c r="D28" s="180" t="s">
        <v>56</v>
      </c>
      <c r="E28" s="181" t="s">
        <v>163</v>
      </c>
      <c r="F28" s="182">
        <f>F30+F35+F39+F41</f>
        <v>0</v>
      </c>
      <c r="H28" s="5" t="s">
        <v>217</v>
      </c>
      <c r="I28" s="9">
        <f>+F33/E33*1000</f>
        <v>0</v>
      </c>
      <c r="J28" s="17"/>
      <c r="K28" s="716"/>
      <c r="L28" s="716"/>
      <c r="M28" s="716"/>
      <c r="N28" s="716"/>
      <c r="O28" s="716"/>
    </row>
    <row r="29" spans="1:15">
      <c r="A29" s="183"/>
      <c r="B29" s="184"/>
      <c r="C29" s="185"/>
      <c r="D29" s="200"/>
      <c r="E29" s="201"/>
      <c r="F29" s="185"/>
      <c r="K29" s="716"/>
      <c r="L29" s="716"/>
      <c r="M29" s="716"/>
      <c r="N29" s="716"/>
      <c r="O29" s="716"/>
    </row>
    <row r="30" spans="1:15" ht="16">
      <c r="A30" s="186" t="s">
        <v>57</v>
      </c>
      <c r="B30" s="187"/>
      <c r="C30" s="693"/>
      <c r="D30" s="186" t="s">
        <v>51</v>
      </c>
      <c r="E30" s="187"/>
      <c r="F30" s="693"/>
      <c r="G30" s="10"/>
      <c r="H30" s="521" t="s">
        <v>335</v>
      </c>
      <c r="K30" s="716"/>
      <c r="L30" s="716"/>
      <c r="M30" s="716"/>
      <c r="N30" s="716"/>
      <c r="O30" s="716"/>
    </row>
    <row r="31" spans="1:15">
      <c r="A31" s="188" t="s">
        <v>58</v>
      </c>
      <c r="B31" s="189">
        <v>5959</v>
      </c>
      <c r="C31" s="694"/>
      <c r="D31" s="202" t="s">
        <v>59</v>
      </c>
      <c r="E31" s="203"/>
      <c r="F31" s="204"/>
      <c r="H31" s="11" t="s">
        <v>213</v>
      </c>
      <c r="K31" s="716"/>
      <c r="L31" s="716"/>
      <c r="M31" s="716"/>
      <c r="N31" s="716"/>
      <c r="O31" s="716"/>
    </row>
    <row r="32" spans="1:15">
      <c r="A32" s="190"/>
      <c r="B32" s="191"/>
      <c r="C32" s="192"/>
      <c r="D32" s="205" t="s">
        <v>60</v>
      </c>
      <c r="E32" s="206"/>
      <c r="F32" s="696"/>
      <c r="H32" s="12" t="s">
        <v>214</v>
      </c>
      <c r="I32" s="13">
        <f>+F32-I33</f>
        <v>0</v>
      </c>
      <c r="L32" s="10"/>
    </row>
    <row r="33" spans="1:12">
      <c r="A33" s="188" t="s">
        <v>62</v>
      </c>
      <c r="B33" s="193"/>
      <c r="C33" s="694"/>
      <c r="D33" s="205" t="s">
        <v>61</v>
      </c>
      <c r="E33" s="207">
        <v>4124</v>
      </c>
      <c r="F33" s="696"/>
      <c r="H33" s="132" t="s">
        <v>215</v>
      </c>
      <c r="I33" s="541"/>
      <c r="J33" s="10"/>
      <c r="L33" s="10"/>
    </row>
    <row r="34" spans="1:12">
      <c r="A34" s="194"/>
      <c r="B34" s="195"/>
      <c r="C34" s="192"/>
      <c r="D34" s="196"/>
      <c r="F34" s="197"/>
      <c r="H34" s="93" t="s">
        <v>129</v>
      </c>
      <c r="I34" s="697"/>
      <c r="J34" s="10"/>
      <c r="K34" s="10"/>
      <c r="L34" s="10"/>
    </row>
    <row r="35" spans="1:12">
      <c r="A35" s="186" t="s">
        <v>159</v>
      </c>
      <c r="B35" s="187"/>
      <c r="C35" s="693"/>
      <c r="D35" s="186" t="s">
        <v>63</v>
      </c>
      <c r="E35" s="187"/>
      <c r="F35" s="693"/>
      <c r="H35" s="15" t="s">
        <v>216</v>
      </c>
      <c r="I35" s="16">
        <f>+I32+I33</f>
        <v>0</v>
      </c>
      <c r="J35" s="10"/>
      <c r="K35" s="10"/>
      <c r="L35" s="10"/>
    </row>
    <row r="36" spans="1:12">
      <c r="A36" s="194"/>
      <c r="B36" s="195"/>
      <c r="C36" s="192"/>
      <c r="D36" s="208" t="s">
        <v>64</v>
      </c>
      <c r="E36" s="207">
        <v>5364</v>
      </c>
      <c r="F36" s="696"/>
    </row>
    <row r="37" spans="1:12">
      <c r="A37" s="196"/>
      <c r="C37" s="197"/>
      <c r="D37" s="208" t="s">
        <v>65</v>
      </c>
      <c r="E37" s="206"/>
      <c r="F37" s="696"/>
    </row>
    <row r="38" spans="1:12">
      <c r="A38" s="196"/>
      <c r="C38" s="197"/>
      <c r="D38" s="209"/>
      <c r="E38" s="210"/>
      <c r="F38" s="211"/>
    </row>
    <row r="39" spans="1:12">
      <c r="A39" s="186" t="s">
        <v>66</v>
      </c>
      <c r="B39" s="187"/>
      <c r="C39" s="693"/>
      <c r="D39" s="186" t="s">
        <v>164</v>
      </c>
      <c r="E39" s="187"/>
      <c r="F39" s="693"/>
    </row>
    <row r="40" spans="1:12">
      <c r="A40" s="196"/>
      <c r="C40" s="197"/>
      <c r="D40" s="212"/>
      <c r="E40" s="203"/>
      <c r="F40" s="204"/>
    </row>
    <row r="41" spans="1:12">
      <c r="A41" s="198" t="s">
        <v>67</v>
      </c>
      <c r="B41" s="199"/>
      <c r="C41" s="695"/>
      <c r="D41" s="198" t="s">
        <v>68</v>
      </c>
      <c r="E41" s="199"/>
      <c r="F41" s="695"/>
      <c r="G41" s="10"/>
    </row>
    <row r="42" spans="1:12">
      <c r="A42" s="542" t="s">
        <v>384</v>
      </c>
      <c r="F42" s="10"/>
      <c r="G42" s="10"/>
    </row>
    <row r="43" spans="1:12">
      <c r="A43" s="126"/>
      <c r="G43" s="10"/>
    </row>
    <row r="44" spans="1:12">
      <c r="B44" s="18"/>
      <c r="G44" s="10"/>
    </row>
  </sheetData>
  <mergeCells count="3">
    <mergeCell ref="K13:O31"/>
    <mergeCell ref="A3:K3"/>
    <mergeCell ref="A5:K5"/>
  </mergeCells>
  <hyperlinks>
    <hyperlink ref="K1" location="'Cumplimiento de la regla'!A1" display="Cumplimiento de la regla" xr:uid="{4A8B9C9F-70DA-574A-BEDB-4EB030AF7125}"/>
    <hyperlink ref="G1" location="Introducción!A1" display="Introducción" xr:uid="{50B63E5A-674A-1940-AE17-B0AD840981B6}"/>
    <hyperlink ref="J1" location="Gráficos!A1" display="Gráficos" xr:uid="{AA38E9E3-29E4-004C-A510-78B2852ECE05}"/>
    <hyperlink ref="I1" location="SALIDA!A1" display="SALIDA" xr:uid="{1340FF98-BB1D-D944-9810-0C3BD977F599}"/>
    <hyperlink ref="H1" location="Supuestos!A1" display="Supuestos" xr:uid="{56B175D8-2B12-324B-A8CB-98836BDD63CD}"/>
  </hyperlink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C627D-F0BF-D94D-8233-B1ABF0835E62}">
  <sheetPr codeName="Sheet2">
    <tabColor rgb="FFD4D3D2"/>
  </sheetPr>
  <dimension ref="A1:BB121"/>
  <sheetViews>
    <sheetView zoomScale="90" zoomScaleNormal="90" workbookViewId="0">
      <pane xSplit="2" ySplit="8" topLeftCell="C9" activePane="bottomRight" state="frozen"/>
      <selection activeCell="C26" sqref="C26"/>
      <selection pane="topRight" activeCell="C26" sqref="C26"/>
      <selection pane="bottomLeft" activeCell="C26" sqref="C26"/>
      <selection pane="bottomRight"/>
    </sheetView>
  </sheetViews>
  <sheetFormatPr baseColWidth="10" defaultColWidth="10.83203125" defaultRowHeight="16"/>
  <cols>
    <col min="1" max="1" width="18.83203125" style="516" customWidth="1"/>
    <col min="2" max="2" width="30.83203125" style="40" customWidth="1"/>
    <col min="3" max="3" width="30.83203125" style="638" customWidth="1"/>
    <col min="4" max="5" width="10.83203125" style="63" customWidth="1"/>
    <col min="6" max="17" width="10.83203125" style="37" customWidth="1"/>
    <col min="18" max="54" width="10.1640625" style="37" customWidth="1"/>
    <col min="55" max="16384" width="10.83203125" style="37"/>
  </cols>
  <sheetData>
    <row r="1" spans="1:54" ht="28">
      <c r="A1" s="513" t="s">
        <v>285</v>
      </c>
      <c r="C1" s="40"/>
      <c r="F1" s="510" t="s">
        <v>319</v>
      </c>
      <c r="G1" s="543" t="s">
        <v>315</v>
      </c>
      <c r="H1" s="543" t="s">
        <v>285</v>
      </c>
      <c r="I1" s="543" t="s">
        <v>317</v>
      </c>
      <c r="J1" s="543" t="s">
        <v>318</v>
      </c>
      <c r="K1" s="543" t="s">
        <v>320</v>
      </c>
    </row>
    <row r="2" spans="1:54">
      <c r="A2" s="40"/>
      <c r="C2" s="40"/>
    </row>
    <row r="3" spans="1:54">
      <c r="A3" s="444" t="s">
        <v>298</v>
      </c>
      <c r="C3" s="40"/>
    </row>
    <row r="4" spans="1:54">
      <c r="A4" s="516" t="s">
        <v>299</v>
      </c>
      <c r="C4" s="40"/>
    </row>
    <row r="5" spans="1:54">
      <c r="A5" s="37"/>
      <c r="C5" s="40"/>
      <c r="F5" s="544"/>
    </row>
    <row r="6" spans="1:54">
      <c r="A6" s="545" t="s">
        <v>287</v>
      </c>
      <c r="B6" s="38"/>
      <c r="C6" s="38"/>
      <c r="D6" s="37"/>
      <c r="E6" s="37"/>
    </row>
    <row r="7" spans="1:54">
      <c r="A7" s="546"/>
      <c r="B7" s="38"/>
      <c r="C7" s="38"/>
      <c r="D7" s="37"/>
      <c r="E7" s="37"/>
    </row>
    <row r="8" spans="1:54">
      <c r="A8" s="613" t="s">
        <v>94</v>
      </c>
      <c r="B8" s="615" t="s">
        <v>293</v>
      </c>
      <c r="C8" s="615" t="s">
        <v>362</v>
      </c>
      <c r="D8" s="221">
        <v>2021</v>
      </c>
      <c r="E8" s="221">
        <v>2022</v>
      </c>
      <c r="F8" s="221">
        <v>2023</v>
      </c>
      <c r="G8" s="221">
        <v>2024</v>
      </c>
      <c r="H8" s="221">
        <v>2025</v>
      </c>
      <c r="I8" s="221">
        <v>2026</v>
      </c>
      <c r="J8" s="221">
        <v>2027</v>
      </c>
      <c r="K8" s="221">
        <v>2028</v>
      </c>
      <c r="L8" s="221">
        <v>2029</v>
      </c>
      <c r="M8" s="221">
        <v>2030</v>
      </c>
      <c r="N8" s="221">
        <v>2031</v>
      </c>
      <c r="O8" s="221">
        <v>2032</v>
      </c>
      <c r="P8" s="221">
        <v>2033</v>
      </c>
      <c r="Q8" s="547">
        <v>2034</v>
      </c>
      <c r="R8" s="221">
        <v>2035</v>
      </c>
      <c r="S8" s="221">
        <v>2036</v>
      </c>
      <c r="T8" s="221">
        <v>2037</v>
      </c>
      <c r="U8" s="221">
        <v>2038</v>
      </c>
      <c r="V8" s="221">
        <v>2039</v>
      </c>
      <c r="W8" s="221">
        <v>2040</v>
      </c>
      <c r="X8" s="221">
        <v>2041</v>
      </c>
      <c r="Y8" s="221">
        <v>2042</v>
      </c>
      <c r="Z8" s="221">
        <v>2043</v>
      </c>
      <c r="AA8" s="221">
        <v>2044</v>
      </c>
      <c r="AB8" s="221">
        <v>2045</v>
      </c>
      <c r="AC8" s="221">
        <v>2046</v>
      </c>
      <c r="AD8" s="221">
        <v>2047</v>
      </c>
      <c r="AE8" s="221">
        <v>2048</v>
      </c>
      <c r="AF8" s="221">
        <v>2049</v>
      </c>
      <c r="AG8" s="221">
        <v>2050</v>
      </c>
      <c r="AH8" s="221">
        <v>2051</v>
      </c>
      <c r="AI8" s="221">
        <v>2052</v>
      </c>
      <c r="AJ8" s="221">
        <v>2053</v>
      </c>
      <c r="AK8" s="221">
        <v>2054</v>
      </c>
      <c r="AL8" s="221">
        <v>2055</v>
      </c>
      <c r="AM8" s="221">
        <v>2056</v>
      </c>
      <c r="AN8" s="221">
        <v>2057</v>
      </c>
      <c r="AO8" s="221">
        <v>2058</v>
      </c>
      <c r="AP8" s="221">
        <v>2059</v>
      </c>
      <c r="AQ8" s="221">
        <v>2060</v>
      </c>
      <c r="AR8" s="221">
        <v>2061</v>
      </c>
      <c r="AS8" s="221">
        <v>2062</v>
      </c>
      <c r="AT8" s="221">
        <v>2063</v>
      </c>
      <c r="AU8" s="221">
        <v>2064</v>
      </c>
      <c r="AV8" s="221">
        <v>2065</v>
      </c>
      <c r="AW8" s="221">
        <v>2066</v>
      </c>
      <c r="AX8" s="221">
        <v>2067</v>
      </c>
      <c r="AY8" s="221">
        <v>2068</v>
      </c>
      <c r="AZ8" s="221">
        <v>2069</v>
      </c>
      <c r="BA8" s="221">
        <v>2070</v>
      </c>
      <c r="BB8" s="221">
        <v>2071</v>
      </c>
    </row>
    <row r="9" spans="1:54" ht="64" customHeight="1">
      <c r="A9" s="725" t="s">
        <v>102</v>
      </c>
      <c r="B9" s="616" t="s">
        <v>294</v>
      </c>
      <c r="C9" s="722" t="s">
        <v>363</v>
      </c>
      <c r="D9" s="227">
        <v>1192586</v>
      </c>
      <c r="E9" s="227">
        <f>1462522439.52969/1000</f>
        <v>1462522.43952969</v>
      </c>
      <c r="F9" s="548">
        <f t="shared" ref="F9:Q9" si="0">+E9*(1+F10)</f>
        <v>1462522.43952969</v>
      </c>
      <c r="G9" s="548">
        <f t="shared" si="0"/>
        <v>1462522.43952969</v>
      </c>
      <c r="H9" s="548">
        <f t="shared" si="0"/>
        <v>1462522.43952969</v>
      </c>
      <c r="I9" s="548">
        <f t="shared" si="0"/>
        <v>1462522.43952969</v>
      </c>
      <c r="J9" s="548">
        <f t="shared" si="0"/>
        <v>1462522.43952969</v>
      </c>
      <c r="K9" s="548">
        <f t="shared" si="0"/>
        <v>1462522.43952969</v>
      </c>
      <c r="L9" s="548">
        <f t="shared" si="0"/>
        <v>1462522.43952969</v>
      </c>
      <c r="M9" s="548">
        <f t="shared" si="0"/>
        <v>1462522.43952969</v>
      </c>
      <c r="N9" s="548">
        <f t="shared" si="0"/>
        <v>1462522.43952969</v>
      </c>
      <c r="O9" s="548">
        <f t="shared" si="0"/>
        <v>1462522.43952969</v>
      </c>
      <c r="P9" s="548">
        <f t="shared" si="0"/>
        <v>1462522.43952969</v>
      </c>
      <c r="Q9" s="549">
        <f t="shared" si="0"/>
        <v>1462522.43952969</v>
      </c>
    </row>
    <row r="10" spans="1:54">
      <c r="A10" s="726"/>
      <c r="B10" s="617" t="s">
        <v>47</v>
      </c>
      <c r="C10" s="724"/>
      <c r="D10" s="550"/>
      <c r="E10" s="550">
        <v>0.22747798531931451</v>
      </c>
      <c r="F10" s="551"/>
      <c r="G10" s="551"/>
      <c r="H10" s="551"/>
      <c r="I10" s="551"/>
      <c r="J10" s="551"/>
      <c r="K10" s="551"/>
      <c r="L10" s="551"/>
      <c r="M10" s="551"/>
      <c r="N10" s="551"/>
      <c r="O10" s="551"/>
      <c r="P10" s="551"/>
      <c r="Q10" s="552"/>
    </row>
    <row r="11" spans="1:54" ht="32">
      <c r="A11" s="725" t="s">
        <v>104</v>
      </c>
      <c r="B11" s="616" t="s">
        <v>294</v>
      </c>
      <c r="C11" s="722" t="s">
        <v>364</v>
      </c>
      <c r="D11" s="227">
        <v>907351.99999999895</v>
      </c>
      <c r="E11" s="227">
        <f>973194568.367914/1000</f>
        <v>973194.56836791395</v>
      </c>
      <c r="F11" s="548">
        <f t="shared" ref="F11:Q11" si="1">+E11*(1+F12)</f>
        <v>973194.56836791395</v>
      </c>
      <c r="G11" s="548">
        <f t="shared" si="1"/>
        <v>973194.56836791395</v>
      </c>
      <c r="H11" s="548">
        <f t="shared" si="1"/>
        <v>973194.56836791395</v>
      </c>
      <c r="I11" s="548">
        <f t="shared" si="1"/>
        <v>973194.56836791395</v>
      </c>
      <c r="J11" s="548">
        <f t="shared" si="1"/>
        <v>973194.56836791395</v>
      </c>
      <c r="K11" s="548">
        <f t="shared" si="1"/>
        <v>973194.56836791395</v>
      </c>
      <c r="L11" s="548">
        <f t="shared" si="1"/>
        <v>973194.56836791395</v>
      </c>
      <c r="M11" s="548">
        <f t="shared" si="1"/>
        <v>973194.56836791395</v>
      </c>
      <c r="N11" s="548">
        <f t="shared" si="1"/>
        <v>973194.56836791395</v>
      </c>
      <c r="O11" s="548">
        <f t="shared" si="1"/>
        <v>973194.56836791395</v>
      </c>
      <c r="P11" s="548">
        <f t="shared" si="1"/>
        <v>973194.56836791395</v>
      </c>
      <c r="Q11" s="549">
        <f t="shared" si="1"/>
        <v>973194.56836791395</v>
      </c>
    </row>
    <row r="12" spans="1:54">
      <c r="A12" s="726"/>
      <c r="B12" s="617" t="s">
        <v>47</v>
      </c>
      <c r="C12" s="724"/>
      <c r="D12" s="550"/>
      <c r="E12" s="550">
        <v>7.495775781405345E-2</v>
      </c>
      <c r="F12" s="551"/>
      <c r="G12" s="551"/>
      <c r="H12" s="551"/>
      <c r="I12" s="551"/>
      <c r="J12" s="551"/>
      <c r="K12" s="551"/>
      <c r="L12" s="551"/>
      <c r="M12" s="551"/>
      <c r="N12" s="551"/>
      <c r="O12" s="551"/>
      <c r="P12" s="551"/>
      <c r="Q12" s="552"/>
    </row>
    <row r="13" spans="1:54" ht="17">
      <c r="A13" s="614" t="s">
        <v>95</v>
      </c>
      <c r="B13" s="618" t="s">
        <v>200</v>
      </c>
      <c r="C13" s="630"/>
      <c r="D13" s="553">
        <v>5.62E-2</v>
      </c>
      <c r="E13" s="553">
        <v>0.13119999999999998</v>
      </c>
      <c r="F13" s="554"/>
      <c r="G13" s="554"/>
      <c r="H13" s="554"/>
      <c r="I13" s="554"/>
      <c r="J13" s="554"/>
      <c r="K13" s="554"/>
      <c r="L13" s="554"/>
      <c r="M13" s="554"/>
      <c r="N13" s="554"/>
      <c r="O13" s="554"/>
      <c r="P13" s="554"/>
      <c r="Q13" s="555"/>
      <c r="R13" s="244"/>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5"/>
      <c r="AY13" s="245"/>
      <c r="AZ13" s="245"/>
      <c r="BA13" s="245"/>
      <c r="BB13" s="246"/>
    </row>
    <row r="14" spans="1:54" ht="17">
      <c r="A14" s="614" t="s">
        <v>72</v>
      </c>
      <c r="B14" s="618" t="s">
        <v>91</v>
      </c>
      <c r="C14" s="630" t="s">
        <v>365</v>
      </c>
      <c r="D14" s="556">
        <v>290.53071107762395</v>
      </c>
      <c r="E14" s="556">
        <v>324.39330000000001</v>
      </c>
      <c r="F14" s="247">
        <f t="shared" ref="F14:AW14" si="2">E14*(1+F13)</f>
        <v>324.39330000000001</v>
      </c>
      <c r="G14" s="247">
        <f t="shared" si="2"/>
        <v>324.39330000000001</v>
      </c>
      <c r="H14" s="247">
        <f t="shared" si="2"/>
        <v>324.39330000000001</v>
      </c>
      <c r="I14" s="247">
        <f t="shared" si="2"/>
        <v>324.39330000000001</v>
      </c>
      <c r="J14" s="247">
        <f t="shared" si="2"/>
        <v>324.39330000000001</v>
      </c>
      <c r="K14" s="247">
        <f t="shared" si="2"/>
        <v>324.39330000000001</v>
      </c>
      <c r="L14" s="247">
        <f t="shared" si="2"/>
        <v>324.39330000000001</v>
      </c>
      <c r="M14" s="247">
        <f t="shared" si="2"/>
        <v>324.39330000000001</v>
      </c>
      <c r="N14" s="247">
        <f t="shared" si="2"/>
        <v>324.39330000000001</v>
      </c>
      <c r="O14" s="247">
        <f t="shared" si="2"/>
        <v>324.39330000000001</v>
      </c>
      <c r="P14" s="247">
        <f t="shared" si="2"/>
        <v>324.39330000000001</v>
      </c>
      <c r="Q14" s="248">
        <f t="shared" si="2"/>
        <v>324.39330000000001</v>
      </c>
      <c r="R14" s="249">
        <f t="shared" si="2"/>
        <v>324.39330000000001</v>
      </c>
      <c r="S14" s="250">
        <f t="shared" si="2"/>
        <v>324.39330000000001</v>
      </c>
      <c r="T14" s="250">
        <f t="shared" si="2"/>
        <v>324.39330000000001</v>
      </c>
      <c r="U14" s="250">
        <f t="shared" si="2"/>
        <v>324.39330000000001</v>
      </c>
      <c r="V14" s="250">
        <f t="shared" si="2"/>
        <v>324.39330000000001</v>
      </c>
      <c r="W14" s="250">
        <f t="shared" si="2"/>
        <v>324.39330000000001</v>
      </c>
      <c r="X14" s="250">
        <f t="shared" si="2"/>
        <v>324.39330000000001</v>
      </c>
      <c r="Y14" s="250">
        <f t="shared" si="2"/>
        <v>324.39330000000001</v>
      </c>
      <c r="Z14" s="250">
        <f t="shared" si="2"/>
        <v>324.39330000000001</v>
      </c>
      <c r="AA14" s="250">
        <f t="shared" si="2"/>
        <v>324.39330000000001</v>
      </c>
      <c r="AB14" s="250">
        <f t="shared" si="2"/>
        <v>324.39330000000001</v>
      </c>
      <c r="AC14" s="250">
        <f t="shared" si="2"/>
        <v>324.39330000000001</v>
      </c>
      <c r="AD14" s="250">
        <f t="shared" si="2"/>
        <v>324.39330000000001</v>
      </c>
      <c r="AE14" s="250">
        <f t="shared" si="2"/>
        <v>324.39330000000001</v>
      </c>
      <c r="AF14" s="250">
        <f t="shared" si="2"/>
        <v>324.39330000000001</v>
      </c>
      <c r="AG14" s="250">
        <f t="shared" si="2"/>
        <v>324.39330000000001</v>
      </c>
      <c r="AH14" s="250">
        <f t="shared" si="2"/>
        <v>324.39330000000001</v>
      </c>
      <c r="AI14" s="250">
        <f t="shared" si="2"/>
        <v>324.39330000000001</v>
      </c>
      <c r="AJ14" s="250">
        <f t="shared" si="2"/>
        <v>324.39330000000001</v>
      </c>
      <c r="AK14" s="250">
        <f t="shared" si="2"/>
        <v>324.39330000000001</v>
      </c>
      <c r="AL14" s="250">
        <f t="shared" si="2"/>
        <v>324.39330000000001</v>
      </c>
      <c r="AM14" s="250">
        <f t="shared" si="2"/>
        <v>324.39330000000001</v>
      </c>
      <c r="AN14" s="250">
        <f t="shared" si="2"/>
        <v>324.39330000000001</v>
      </c>
      <c r="AO14" s="250">
        <f t="shared" si="2"/>
        <v>324.39330000000001</v>
      </c>
      <c r="AP14" s="250">
        <f t="shared" si="2"/>
        <v>324.39330000000001</v>
      </c>
      <c r="AQ14" s="250">
        <f t="shared" si="2"/>
        <v>324.39330000000001</v>
      </c>
      <c r="AR14" s="250">
        <f t="shared" si="2"/>
        <v>324.39330000000001</v>
      </c>
      <c r="AS14" s="250">
        <f t="shared" si="2"/>
        <v>324.39330000000001</v>
      </c>
      <c r="AT14" s="250">
        <f t="shared" si="2"/>
        <v>324.39330000000001</v>
      </c>
      <c r="AU14" s="250">
        <f t="shared" si="2"/>
        <v>324.39330000000001</v>
      </c>
      <c r="AV14" s="250">
        <f t="shared" si="2"/>
        <v>324.39330000000001</v>
      </c>
      <c r="AW14" s="247">
        <f t="shared" si="2"/>
        <v>324.39330000000001</v>
      </c>
      <c r="AX14" s="247">
        <f t="shared" ref="AX14:BB14" si="3">AW14*(1+AX13)</f>
        <v>324.39330000000001</v>
      </c>
      <c r="AY14" s="247">
        <f t="shared" si="3"/>
        <v>324.39330000000001</v>
      </c>
      <c r="AZ14" s="247">
        <f t="shared" si="3"/>
        <v>324.39330000000001</v>
      </c>
      <c r="BA14" s="247">
        <f t="shared" si="3"/>
        <v>324.39330000000001</v>
      </c>
      <c r="BB14" s="248">
        <f t="shared" si="3"/>
        <v>324.39330000000001</v>
      </c>
    </row>
    <row r="15" spans="1:54">
      <c r="A15" s="725" t="s">
        <v>101</v>
      </c>
      <c r="B15" s="616" t="s">
        <v>196</v>
      </c>
      <c r="C15" s="631"/>
      <c r="D15" s="227">
        <v>3981.16</v>
      </c>
      <c r="E15" s="227">
        <v>4810</v>
      </c>
      <c r="F15" s="228"/>
      <c r="G15" s="228"/>
      <c r="H15" s="228"/>
      <c r="I15" s="228"/>
      <c r="J15" s="228"/>
      <c r="K15" s="228"/>
      <c r="L15" s="228"/>
      <c r="M15" s="228"/>
      <c r="N15" s="228"/>
      <c r="O15" s="228"/>
      <c r="P15" s="228"/>
      <c r="Q15" s="229"/>
      <c r="R15" s="251"/>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8"/>
      <c r="AY15" s="228"/>
      <c r="AZ15" s="228"/>
      <c r="BA15" s="228"/>
      <c r="BB15" s="229"/>
    </row>
    <row r="16" spans="1:54" ht="15">
      <c r="A16" s="727"/>
      <c r="B16" s="619" t="s">
        <v>198</v>
      </c>
      <c r="C16" s="632"/>
      <c r="D16" s="557">
        <v>0.1598426802621995</v>
      </c>
      <c r="E16" s="557">
        <v>0.20819057762059301</v>
      </c>
      <c r="F16" s="558">
        <f t="shared" ref="F16:AJ16" si="4">(F15/E15)-1</f>
        <v>-1</v>
      </c>
      <c r="G16" s="558" t="e">
        <f t="shared" si="4"/>
        <v>#DIV/0!</v>
      </c>
      <c r="H16" s="558" t="e">
        <f t="shared" si="4"/>
        <v>#DIV/0!</v>
      </c>
      <c r="I16" s="558" t="e">
        <f t="shared" si="4"/>
        <v>#DIV/0!</v>
      </c>
      <c r="J16" s="558" t="e">
        <f t="shared" si="4"/>
        <v>#DIV/0!</v>
      </c>
      <c r="K16" s="558" t="e">
        <f t="shared" si="4"/>
        <v>#DIV/0!</v>
      </c>
      <c r="L16" s="558" t="e">
        <f t="shared" si="4"/>
        <v>#DIV/0!</v>
      </c>
      <c r="M16" s="558" t="e">
        <f t="shared" si="4"/>
        <v>#DIV/0!</v>
      </c>
      <c r="N16" s="558" t="e">
        <f t="shared" si="4"/>
        <v>#DIV/0!</v>
      </c>
      <c r="O16" s="558" t="e">
        <f t="shared" si="4"/>
        <v>#DIV/0!</v>
      </c>
      <c r="P16" s="558" t="e">
        <f t="shared" si="4"/>
        <v>#DIV/0!</v>
      </c>
      <c r="Q16" s="559" t="e">
        <f t="shared" si="4"/>
        <v>#DIV/0!</v>
      </c>
      <c r="R16" s="560" t="e">
        <f t="shared" si="4"/>
        <v>#DIV/0!</v>
      </c>
      <c r="S16" s="558" t="e">
        <f t="shared" si="4"/>
        <v>#DIV/0!</v>
      </c>
      <c r="T16" s="558" t="e">
        <f t="shared" si="4"/>
        <v>#DIV/0!</v>
      </c>
      <c r="U16" s="558" t="e">
        <f t="shared" si="4"/>
        <v>#DIV/0!</v>
      </c>
      <c r="V16" s="558" t="e">
        <f t="shared" si="4"/>
        <v>#DIV/0!</v>
      </c>
      <c r="W16" s="558" t="e">
        <f t="shared" si="4"/>
        <v>#DIV/0!</v>
      </c>
      <c r="X16" s="558" t="e">
        <f t="shared" si="4"/>
        <v>#DIV/0!</v>
      </c>
      <c r="Y16" s="558" t="e">
        <f t="shared" si="4"/>
        <v>#DIV/0!</v>
      </c>
      <c r="Z16" s="558" t="e">
        <f t="shared" si="4"/>
        <v>#DIV/0!</v>
      </c>
      <c r="AA16" s="558" t="e">
        <f t="shared" si="4"/>
        <v>#DIV/0!</v>
      </c>
      <c r="AB16" s="558" t="e">
        <f t="shared" si="4"/>
        <v>#DIV/0!</v>
      </c>
      <c r="AC16" s="558" t="e">
        <f t="shared" si="4"/>
        <v>#DIV/0!</v>
      </c>
      <c r="AD16" s="558" t="e">
        <f t="shared" si="4"/>
        <v>#DIV/0!</v>
      </c>
      <c r="AE16" s="558" t="e">
        <f t="shared" si="4"/>
        <v>#DIV/0!</v>
      </c>
      <c r="AF16" s="558" t="e">
        <f t="shared" si="4"/>
        <v>#DIV/0!</v>
      </c>
      <c r="AG16" s="558" t="e">
        <f t="shared" si="4"/>
        <v>#DIV/0!</v>
      </c>
      <c r="AH16" s="558" t="e">
        <f t="shared" si="4"/>
        <v>#DIV/0!</v>
      </c>
      <c r="AI16" s="558" t="e">
        <f t="shared" si="4"/>
        <v>#DIV/0!</v>
      </c>
      <c r="AJ16" s="558" t="e">
        <f t="shared" si="4"/>
        <v>#DIV/0!</v>
      </c>
      <c r="AK16" s="558" t="e">
        <f t="shared" ref="AK16:BB16" si="5">(AK15/AJ15)-1</f>
        <v>#DIV/0!</v>
      </c>
      <c r="AL16" s="558" t="e">
        <f t="shared" si="5"/>
        <v>#DIV/0!</v>
      </c>
      <c r="AM16" s="558" t="e">
        <f t="shared" si="5"/>
        <v>#DIV/0!</v>
      </c>
      <c r="AN16" s="558" t="e">
        <f t="shared" si="5"/>
        <v>#DIV/0!</v>
      </c>
      <c r="AO16" s="558" t="e">
        <f t="shared" si="5"/>
        <v>#DIV/0!</v>
      </c>
      <c r="AP16" s="558" t="e">
        <f t="shared" si="5"/>
        <v>#DIV/0!</v>
      </c>
      <c r="AQ16" s="558" t="e">
        <f t="shared" si="5"/>
        <v>#DIV/0!</v>
      </c>
      <c r="AR16" s="558" t="e">
        <f t="shared" si="5"/>
        <v>#DIV/0!</v>
      </c>
      <c r="AS16" s="558" t="e">
        <f t="shared" si="5"/>
        <v>#DIV/0!</v>
      </c>
      <c r="AT16" s="558" t="e">
        <f t="shared" si="5"/>
        <v>#DIV/0!</v>
      </c>
      <c r="AU16" s="558" t="e">
        <f t="shared" si="5"/>
        <v>#DIV/0!</v>
      </c>
      <c r="AV16" s="558" t="e">
        <f t="shared" si="5"/>
        <v>#DIV/0!</v>
      </c>
      <c r="AW16" s="558" t="e">
        <f t="shared" si="5"/>
        <v>#DIV/0!</v>
      </c>
      <c r="AX16" s="558" t="e">
        <f t="shared" si="5"/>
        <v>#DIV/0!</v>
      </c>
      <c r="AY16" s="558" t="e">
        <f t="shared" si="5"/>
        <v>#DIV/0!</v>
      </c>
      <c r="AZ16" s="558" t="e">
        <f t="shared" si="5"/>
        <v>#DIV/0!</v>
      </c>
      <c r="BA16" s="558" t="e">
        <f t="shared" si="5"/>
        <v>#DIV/0!</v>
      </c>
      <c r="BB16" s="559" t="e">
        <f t="shared" si="5"/>
        <v>#DIV/0!</v>
      </c>
    </row>
    <row r="17" spans="1:54" ht="15">
      <c r="A17" s="727"/>
      <c r="B17" s="619" t="s">
        <v>197</v>
      </c>
      <c r="C17" s="632"/>
      <c r="D17" s="561">
        <v>3747.3</v>
      </c>
      <c r="E17" s="561">
        <v>4256</v>
      </c>
      <c r="F17" s="562"/>
      <c r="G17" s="562"/>
      <c r="H17" s="562"/>
      <c r="I17" s="562"/>
      <c r="J17" s="562"/>
      <c r="K17" s="230"/>
      <c r="L17" s="230"/>
      <c r="M17" s="230"/>
      <c r="N17" s="230"/>
      <c r="O17" s="230"/>
      <c r="P17" s="230"/>
      <c r="Q17" s="231"/>
      <c r="R17" s="243"/>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230"/>
      <c r="AS17" s="230"/>
      <c r="AT17" s="230"/>
      <c r="AU17" s="230"/>
      <c r="AV17" s="230"/>
      <c r="AW17" s="230"/>
      <c r="AX17" s="230"/>
      <c r="AY17" s="230"/>
      <c r="AZ17" s="230"/>
      <c r="BA17" s="230"/>
      <c r="BB17" s="229"/>
    </row>
    <row r="18" spans="1:54" ht="15">
      <c r="A18" s="726"/>
      <c r="B18" s="620" t="s">
        <v>199</v>
      </c>
      <c r="C18" s="633"/>
      <c r="D18" s="563">
        <v>1.4428803465078577E-2</v>
      </c>
      <c r="E18" s="563">
        <f t="shared" ref="E18:AJ18" si="6">(E17/D17)-1</f>
        <v>0.13575107410669007</v>
      </c>
      <c r="F18" s="564">
        <f t="shared" si="6"/>
        <v>-1</v>
      </c>
      <c r="G18" s="564" t="e">
        <f t="shared" si="6"/>
        <v>#DIV/0!</v>
      </c>
      <c r="H18" s="564" t="e">
        <f t="shared" si="6"/>
        <v>#DIV/0!</v>
      </c>
      <c r="I18" s="564" t="e">
        <f t="shared" si="6"/>
        <v>#DIV/0!</v>
      </c>
      <c r="J18" s="564" t="e">
        <f t="shared" si="6"/>
        <v>#DIV/0!</v>
      </c>
      <c r="K18" s="564" t="e">
        <f t="shared" si="6"/>
        <v>#DIV/0!</v>
      </c>
      <c r="L18" s="564" t="e">
        <f t="shared" si="6"/>
        <v>#DIV/0!</v>
      </c>
      <c r="M18" s="564" t="e">
        <f t="shared" si="6"/>
        <v>#DIV/0!</v>
      </c>
      <c r="N18" s="564" t="e">
        <f t="shared" si="6"/>
        <v>#DIV/0!</v>
      </c>
      <c r="O18" s="564" t="e">
        <f t="shared" si="6"/>
        <v>#DIV/0!</v>
      </c>
      <c r="P18" s="564" t="e">
        <f t="shared" si="6"/>
        <v>#DIV/0!</v>
      </c>
      <c r="Q18" s="565" t="e">
        <f t="shared" si="6"/>
        <v>#DIV/0!</v>
      </c>
      <c r="R18" s="566" t="e">
        <f t="shared" si="6"/>
        <v>#DIV/0!</v>
      </c>
      <c r="S18" s="564" t="e">
        <f t="shared" si="6"/>
        <v>#DIV/0!</v>
      </c>
      <c r="T18" s="564" t="e">
        <f t="shared" si="6"/>
        <v>#DIV/0!</v>
      </c>
      <c r="U18" s="564" t="e">
        <f t="shared" si="6"/>
        <v>#DIV/0!</v>
      </c>
      <c r="V18" s="564" t="e">
        <f t="shared" si="6"/>
        <v>#DIV/0!</v>
      </c>
      <c r="W18" s="564" t="e">
        <f t="shared" si="6"/>
        <v>#DIV/0!</v>
      </c>
      <c r="X18" s="564" t="e">
        <f t="shared" si="6"/>
        <v>#DIV/0!</v>
      </c>
      <c r="Y18" s="564" t="e">
        <f t="shared" si="6"/>
        <v>#DIV/0!</v>
      </c>
      <c r="Z18" s="564" t="e">
        <f t="shared" si="6"/>
        <v>#DIV/0!</v>
      </c>
      <c r="AA18" s="564" t="e">
        <f t="shared" si="6"/>
        <v>#DIV/0!</v>
      </c>
      <c r="AB18" s="564" t="e">
        <f t="shared" si="6"/>
        <v>#DIV/0!</v>
      </c>
      <c r="AC18" s="564" t="e">
        <f t="shared" si="6"/>
        <v>#DIV/0!</v>
      </c>
      <c r="AD18" s="564" t="e">
        <f t="shared" si="6"/>
        <v>#DIV/0!</v>
      </c>
      <c r="AE18" s="564" t="e">
        <f t="shared" si="6"/>
        <v>#DIV/0!</v>
      </c>
      <c r="AF18" s="564" t="e">
        <f t="shared" si="6"/>
        <v>#DIV/0!</v>
      </c>
      <c r="AG18" s="564" t="e">
        <f t="shared" si="6"/>
        <v>#DIV/0!</v>
      </c>
      <c r="AH18" s="564" t="e">
        <f t="shared" si="6"/>
        <v>#DIV/0!</v>
      </c>
      <c r="AI18" s="564" t="e">
        <f t="shared" si="6"/>
        <v>#DIV/0!</v>
      </c>
      <c r="AJ18" s="564" t="e">
        <f t="shared" si="6"/>
        <v>#DIV/0!</v>
      </c>
      <c r="AK18" s="564" t="e">
        <f t="shared" ref="AK18:BB18" si="7">(AK17/AJ17)-1</f>
        <v>#DIV/0!</v>
      </c>
      <c r="AL18" s="564" t="e">
        <f t="shared" si="7"/>
        <v>#DIV/0!</v>
      </c>
      <c r="AM18" s="564" t="e">
        <f t="shared" si="7"/>
        <v>#DIV/0!</v>
      </c>
      <c r="AN18" s="564" t="e">
        <f t="shared" si="7"/>
        <v>#DIV/0!</v>
      </c>
      <c r="AO18" s="564" t="e">
        <f t="shared" si="7"/>
        <v>#DIV/0!</v>
      </c>
      <c r="AP18" s="564" t="e">
        <f t="shared" si="7"/>
        <v>#DIV/0!</v>
      </c>
      <c r="AQ18" s="564" t="e">
        <f t="shared" si="7"/>
        <v>#DIV/0!</v>
      </c>
      <c r="AR18" s="564" t="e">
        <f t="shared" si="7"/>
        <v>#DIV/0!</v>
      </c>
      <c r="AS18" s="564" t="e">
        <f t="shared" si="7"/>
        <v>#DIV/0!</v>
      </c>
      <c r="AT18" s="564" t="e">
        <f t="shared" si="7"/>
        <v>#DIV/0!</v>
      </c>
      <c r="AU18" s="564" t="e">
        <f t="shared" si="7"/>
        <v>#DIV/0!</v>
      </c>
      <c r="AV18" s="564" t="e">
        <f t="shared" si="7"/>
        <v>#DIV/0!</v>
      </c>
      <c r="AW18" s="564" t="e">
        <f t="shared" si="7"/>
        <v>#DIV/0!</v>
      </c>
      <c r="AX18" s="564" t="e">
        <f t="shared" si="7"/>
        <v>#DIV/0!</v>
      </c>
      <c r="AY18" s="564" t="e">
        <f t="shared" si="7"/>
        <v>#DIV/0!</v>
      </c>
      <c r="AZ18" s="564" t="e">
        <f t="shared" si="7"/>
        <v>#DIV/0!</v>
      </c>
      <c r="BA18" s="564" t="e">
        <f t="shared" si="7"/>
        <v>#DIV/0!</v>
      </c>
      <c r="BB18" s="565" t="e">
        <f t="shared" si="7"/>
        <v>#DIV/0!</v>
      </c>
    </row>
    <row r="19" spans="1:54" ht="28" customHeight="1">
      <c r="A19" s="725" t="s">
        <v>93</v>
      </c>
      <c r="B19" s="621" t="s">
        <v>76</v>
      </c>
      <c r="C19" s="722" t="s">
        <v>385</v>
      </c>
      <c r="D19" s="567">
        <f t="shared" ref="D19:Q19" si="8">D20+D21</f>
        <v>1</v>
      </c>
      <c r="E19" s="567">
        <f t="shared" si="8"/>
        <v>1</v>
      </c>
      <c r="F19" s="568">
        <f t="shared" si="8"/>
        <v>0</v>
      </c>
      <c r="G19" s="568">
        <f t="shared" si="8"/>
        <v>0</v>
      </c>
      <c r="H19" s="568">
        <f t="shared" si="8"/>
        <v>0</v>
      </c>
      <c r="I19" s="568">
        <f t="shared" si="8"/>
        <v>0</v>
      </c>
      <c r="J19" s="568">
        <f t="shared" si="8"/>
        <v>0</v>
      </c>
      <c r="K19" s="568">
        <f t="shared" si="8"/>
        <v>0</v>
      </c>
      <c r="L19" s="568">
        <f t="shared" si="8"/>
        <v>0</v>
      </c>
      <c r="M19" s="568">
        <f t="shared" si="8"/>
        <v>0</v>
      </c>
      <c r="N19" s="568">
        <f t="shared" si="8"/>
        <v>0</v>
      </c>
      <c r="O19" s="568">
        <f t="shared" si="8"/>
        <v>0</v>
      </c>
      <c r="P19" s="568">
        <f t="shared" si="8"/>
        <v>0</v>
      </c>
      <c r="Q19" s="569">
        <f t="shared" si="8"/>
        <v>0</v>
      </c>
    </row>
    <row r="20" spans="1:54">
      <c r="A20" s="727"/>
      <c r="B20" s="622" t="s">
        <v>87</v>
      </c>
      <c r="C20" s="723"/>
      <c r="D20" s="570">
        <v>0.59630094615014784</v>
      </c>
      <c r="E20" s="570">
        <v>0.57999999999999996</v>
      </c>
      <c r="F20" s="571"/>
      <c r="G20" s="571"/>
      <c r="H20" s="571"/>
      <c r="I20" s="571"/>
      <c r="J20" s="571"/>
      <c r="K20" s="571"/>
      <c r="L20" s="571"/>
      <c r="M20" s="571"/>
      <c r="N20" s="571"/>
      <c r="O20" s="571"/>
      <c r="P20" s="571"/>
      <c r="Q20" s="572"/>
      <c r="T20" s="544"/>
      <c r="U20" s="544"/>
      <c r="V20" s="544"/>
      <c r="W20" s="544"/>
      <c r="X20" s="544"/>
      <c r="Y20" s="544"/>
      <c r="Z20" s="544"/>
      <c r="AA20" s="544"/>
      <c r="AB20" s="544"/>
      <c r="AC20" s="544"/>
      <c r="AD20" s="544"/>
      <c r="AE20" s="544"/>
    </row>
    <row r="21" spans="1:54">
      <c r="A21" s="726"/>
      <c r="B21" s="617" t="s">
        <v>43</v>
      </c>
      <c r="C21" s="724"/>
      <c r="D21" s="550">
        <v>0.40369905384985211</v>
      </c>
      <c r="E21" s="550">
        <v>0.42</v>
      </c>
      <c r="F21" s="573"/>
      <c r="G21" s="573"/>
      <c r="H21" s="573"/>
      <c r="I21" s="573"/>
      <c r="J21" s="573"/>
      <c r="K21" s="573"/>
      <c r="L21" s="573"/>
      <c r="M21" s="573"/>
      <c r="N21" s="573"/>
      <c r="O21" s="573"/>
      <c r="P21" s="573"/>
      <c r="Q21" s="574"/>
    </row>
    <row r="22" spans="1:54">
      <c r="A22" s="725" t="s">
        <v>201</v>
      </c>
      <c r="B22" s="621" t="s">
        <v>185</v>
      </c>
      <c r="C22" s="722" t="s">
        <v>385</v>
      </c>
      <c r="D22" s="567">
        <f t="shared" ref="D22:Q22" si="9">D23+D24</f>
        <v>1</v>
      </c>
      <c r="E22" s="567">
        <f t="shared" si="9"/>
        <v>1</v>
      </c>
      <c r="F22" s="568">
        <f t="shared" si="9"/>
        <v>0</v>
      </c>
      <c r="G22" s="568">
        <f t="shared" si="9"/>
        <v>0</v>
      </c>
      <c r="H22" s="568">
        <f t="shared" si="9"/>
        <v>0</v>
      </c>
      <c r="I22" s="568">
        <f t="shared" si="9"/>
        <v>0</v>
      </c>
      <c r="J22" s="568">
        <f t="shared" si="9"/>
        <v>0</v>
      </c>
      <c r="K22" s="568">
        <f t="shared" si="9"/>
        <v>0</v>
      </c>
      <c r="L22" s="568">
        <f t="shared" si="9"/>
        <v>0</v>
      </c>
      <c r="M22" s="568">
        <f t="shared" si="9"/>
        <v>0</v>
      </c>
      <c r="N22" s="568">
        <f t="shared" si="9"/>
        <v>0</v>
      </c>
      <c r="O22" s="568">
        <f t="shared" si="9"/>
        <v>0</v>
      </c>
      <c r="P22" s="568">
        <f t="shared" si="9"/>
        <v>0</v>
      </c>
      <c r="Q22" s="569">
        <f t="shared" si="9"/>
        <v>0</v>
      </c>
    </row>
    <row r="23" spans="1:54">
      <c r="A23" s="727"/>
      <c r="B23" s="622" t="s">
        <v>71</v>
      </c>
      <c r="C23" s="723"/>
      <c r="D23" s="570">
        <v>0.69677909292655427</v>
      </c>
      <c r="E23" s="570">
        <v>0.8</v>
      </c>
      <c r="F23" s="571"/>
      <c r="G23" s="571"/>
      <c r="H23" s="571"/>
      <c r="I23" s="571"/>
      <c r="J23" s="571"/>
      <c r="K23" s="571"/>
      <c r="L23" s="571"/>
      <c r="M23" s="571"/>
      <c r="N23" s="571"/>
      <c r="O23" s="571"/>
      <c r="P23" s="571"/>
      <c r="Q23" s="572"/>
    </row>
    <row r="24" spans="1:54">
      <c r="A24" s="727"/>
      <c r="B24" s="622" t="s">
        <v>72</v>
      </c>
      <c r="C24" s="724"/>
      <c r="D24" s="570">
        <v>0.30322090707344568</v>
      </c>
      <c r="E24" s="570">
        <v>0.2</v>
      </c>
      <c r="F24" s="571"/>
      <c r="G24" s="571"/>
      <c r="H24" s="571"/>
      <c r="I24" s="571"/>
      <c r="J24" s="571"/>
      <c r="K24" s="571"/>
      <c r="L24" s="571"/>
      <c r="M24" s="571"/>
      <c r="N24" s="571"/>
      <c r="O24" s="571"/>
      <c r="P24" s="571"/>
      <c r="Q24" s="572"/>
    </row>
    <row r="25" spans="1:54" ht="16" customHeight="1">
      <c r="A25" s="725" t="s">
        <v>96</v>
      </c>
      <c r="B25" s="621" t="s">
        <v>187</v>
      </c>
      <c r="C25" s="722" t="s">
        <v>385</v>
      </c>
      <c r="D25" s="233"/>
      <c r="E25" s="233"/>
      <c r="F25" s="568">
        <f t="shared" ref="F25:Q25" si="10">SUM(F26:F29)</f>
        <v>0</v>
      </c>
      <c r="G25" s="568">
        <f t="shared" si="10"/>
        <v>0</v>
      </c>
      <c r="H25" s="568">
        <f t="shared" si="10"/>
        <v>0</v>
      </c>
      <c r="I25" s="568">
        <f t="shared" si="10"/>
        <v>0</v>
      </c>
      <c r="J25" s="568">
        <f t="shared" si="10"/>
        <v>0</v>
      </c>
      <c r="K25" s="568">
        <f t="shared" si="10"/>
        <v>0</v>
      </c>
      <c r="L25" s="568">
        <f t="shared" si="10"/>
        <v>0</v>
      </c>
      <c r="M25" s="568">
        <f t="shared" si="10"/>
        <v>0</v>
      </c>
      <c r="N25" s="568">
        <f t="shared" si="10"/>
        <v>0</v>
      </c>
      <c r="O25" s="568">
        <f t="shared" si="10"/>
        <v>0</v>
      </c>
      <c r="P25" s="568">
        <f t="shared" si="10"/>
        <v>0</v>
      </c>
      <c r="Q25" s="569">
        <f t="shared" si="10"/>
        <v>0</v>
      </c>
    </row>
    <row r="26" spans="1:54" ht="15">
      <c r="A26" s="727"/>
      <c r="B26" s="623">
        <v>5</v>
      </c>
      <c r="C26" s="723"/>
      <c r="D26" s="570"/>
      <c r="E26" s="570"/>
      <c r="F26" s="571"/>
      <c r="G26" s="571"/>
      <c r="H26" s="571"/>
      <c r="I26" s="571"/>
      <c r="J26" s="571"/>
      <c r="K26" s="571"/>
      <c r="L26" s="571"/>
      <c r="M26" s="571"/>
      <c r="N26" s="571"/>
      <c r="O26" s="571"/>
      <c r="P26" s="571"/>
      <c r="Q26" s="572"/>
    </row>
    <row r="27" spans="1:54" ht="15">
      <c r="A27" s="727"/>
      <c r="B27" s="623">
        <v>10</v>
      </c>
      <c r="C27" s="723"/>
      <c r="D27" s="570"/>
      <c r="E27" s="570"/>
      <c r="F27" s="571"/>
      <c r="G27" s="571"/>
      <c r="H27" s="571"/>
      <c r="I27" s="571"/>
      <c r="J27" s="571"/>
      <c r="K27" s="571"/>
      <c r="L27" s="571"/>
      <c r="M27" s="571"/>
      <c r="N27" s="571"/>
      <c r="O27" s="571"/>
      <c r="P27" s="571"/>
      <c r="Q27" s="572"/>
      <c r="T27" s="575"/>
      <c r="U27" s="575"/>
      <c r="V27" s="575"/>
      <c r="W27" s="575"/>
      <c r="X27" s="575"/>
      <c r="Y27" s="575"/>
      <c r="Z27" s="575"/>
      <c r="AA27" s="575"/>
      <c r="AB27" s="575"/>
      <c r="AC27" s="575"/>
      <c r="AD27" s="575"/>
      <c r="AE27" s="575"/>
    </row>
    <row r="28" spans="1:54" ht="15">
      <c r="A28" s="727"/>
      <c r="B28" s="623">
        <v>15</v>
      </c>
      <c r="C28" s="723"/>
      <c r="D28" s="570"/>
      <c r="E28" s="570"/>
      <c r="F28" s="571"/>
      <c r="G28" s="571"/>
      <c r="H28" s="571"/>
      <c r="I28" s="571"/>
      <c r="J28" s="571"/>
      <c r="K28" s="571"/>
      <c r="L28" s="571"/>
      <c r="M28" s="571"/>
      <c r="N28" s="571"/>
      <c r="O28" s="571"/>
      <c r="P28" s="571"/>
      <c r="Q28" s="572"/>
      <c r="T28" s="575"/>
      <c r="U28" s="575"/>
      <c r="V28" s="575"/>
      <c r="W28" s="575"/>
      <c r="X28" s="575"/>
      <c r="Y28" s="575"/>
      <c r="Z28" s="575"/>
      <c r="AA28" s="575"/>
      <c r="AB28" s="575"/>
      <c r="AC28" s="575"/>
      <c r="AD28" s="575"/>
      <c r="AE28" s="575"/>
    </row>
    <row r="29" spans="1:54" ht="15">
      <c r="A29" s="726"/>
      <c r="B29" s="624">
        <v>30</v>
      </c>
      <c r="C29" s="724"/>
      <c r="D29" s="550"/>
      <c r="E29" s="550"/>
      <c r="F29" s="573"/>
      <c r="G29" s="573"/>
      <c r="H29" s="573"/>
      <c r="I29" s="573"/>
      <c r="J29" s="573"/>
      <c r="K29" s="573"/>
      <c r="L29" s="573"/>
      <c r="M29" s="573"/>
      <c r="N29" s="573"/>
      <c r="O29" s="573"/>
      <c r="P29" s="573"/>
      <c r="Q29" s="574"/>
      <c r="T29" s="575"/>
      <c r="U29" s="575"/>
      <c r="V29" s="575"/>
      <c r="W29" s="575"/>
      <c r="X29" s="575"/>
      <c r="Y29" s="575"/>
      <c r="Z29" s="575"/>
      <c r="AA29" s="575"/>
      <c r="AB29" s="575"/>
      <c r="AC29" s="575"/>
      <c r="AD29" s="575"/>
      <c r="AE29" s="575"/>
    </row>
    <row r="30" spans="1:54" s="35" customFormat="1" ht="15">
      <c r="A30" s="725" t="s">
        <v>108</v>
      </c>
      <c r="B30" s="625" t="s">
        <v>191</v>
      </c>
      <c r="C30" s="722" t="s">
        <v>386</v>
      </c>
      <c r="D30" s="576"/>
      <c r="E30" s="576"/>
      <c r="F30" s="234"/>
      <c r="G30" s="234"/>
      <c r="H30" s="234"/>
      <c r="I30" s="234"/>
      <c r="J30" s="234"/>
      <c r="K30" s="234"/>
      <c r="L30" s="234"/>
      <c r="M30" s="234"/>
      <c r="N30" s="234"/>
      <c r="O30" s="234"/>
      <c r="P30" s="234"/>
      <c r="Q30" s="234"/>
    </row>
    <row r="31" spans="1:54" ht="15">
      <c r="A31" s="727"/>
      <c r="B31" s="619" t="s">
        <v>88</v>
      </c>
      <c r="C31" s="723"/>
      <c r="D31" s="557"/>
      <c r="E31" s="37"/>
      <c r="F31" s="577"/>
      <c r="G31" s="577"/>
      <c r="H31" s="577"/>
      <c r="I31" s="577"/>
      <c r="J31" s="577"/>
      <c r="K31" s="577"/>
      <c r="L31" s="577"/>
      <c r="M31" s="577"/>
      <c r="N31" s="577"/>
      <c r="O31" s="577"/>
      <c r="P31" s="577"/>
      <c r="Q31" s="578"/>
    </row>
    <row r="32" spans="1:54" ht="15">
      <c r="A32" s="727"/>
      <c r="B32" s="619" t="s">
        <v>190</v>
      </c>
      <c r="C32" s="723"/>
      <c r="D32" s="557"/>
      <c r="E32" s="37"/>
      <c r="F32" s="577"/>
      <c r="G32" s="577"/>
      <c r="H32" s="577"/>
      <c r="I32" s="577"/>
      <c r="J32" s="577"/>
      <c r="K32" s="577"/>
      <c r="L32" s="577"/>
      <c r="M32" s="577"/>
      <c r="N32" s="577"/>
      <c r="O32" s="577"/>
      <c r="P32" s="577"/>
      <c r="Q32" s="578"/>
    </row>
    <row r="33" spans="1:31" ht="15">
      <c r="A33" s="727"/>
      <c r="B33" s="619" t="s">
        <v>189</v>
      </c>
      <c r="C33" s="723"/>
      <c r="D33" s="579"/>
      <c r="E33" s="37"/>
      <c r="F33" s="63">
        <v>5</v>
      </c>
      <c r="G33" s="63">
        <v>5</v>
      </c>
      <c r="H33" s="63">
        <v>5</v>
      </c>
      <c r="I33" s="63">
        <v>5</v>
      </c>
      <c r="J33" s="63">
        <v>5</v>
      </c>
      <c r="K33" s="63">
        <v>5</v>
      </c>
      <c r="L33" s="63">
        <v>5</v>
      </c>
      <c r="M33" s="63">
        <v>5</v>
      </c>
      <c r="N33" s="63">
        <v>5</v>
      </c>
      <c r="O33" s="63">
        <v>5</v>
      </c>
      <c r="P33" s="63">
        <v>5</v>
      </c>
      <c r="Q33" s="580">
        <v>5</v>
      </c>
    </row>
    <row r="34" spans="1:31" s="63" customFormat="1" ht="15">
      <c r="A34" s="727"/>
      <c r="B34" s="626" t="s">
        <v>192</v>
      </c>
      <c r="C34" s="723"/>
      <c r="D34" s="581"/>
      <c r="E34" s="37"/>
      <c r="F34" s="582"/>
      <c r="G34" s="582"/>
      <c r="H34" s="582"/>
      <c r="I34" s="582"/>
      <c r="J34" s="582"/>
      <c r="K34" s="582"/>
      <c r="L34" s="582"/>
      <c r="M34" s="582"/>
      <c r="N34" s="582"/>
      <c r="O34" s="582"/>
      <c r="P34" s="582"/>
      <c r="Q34" s="583"/>
    </row>
    <row r="35" spans="1:31" ht="15">
      <c r="A35" s="727"/>
      <c r="B35" s="619" t="s">
        <v>88</v>
      </c>
      <c r="C35" s="723"/>
      <c r="D35" s="557"/>
      <c r="E35" s="37"/>
      <c r="F35" s="577"/>
      <c r="G35" s="577"/>
      <c r="H35" s="577"/>
      <c r="I35" s="577"/>
      <c r="J35" s="577"/>
      <c r="K35" s="577"/>
      <c r="L35" s="577"/>
      <c r="M35" s="577"/>
      <c r="N35" s="577"/>
      <c r="O35" s="577"/>
      <c r="P35" s="577"/>
      <c r="Q35" s="578"/>
      <c r="T35" s="575"/>
      <c r="U35" s="575"/>
      <c r="V35" s="575"/>
      <c r="W35" s="575"/>
      <c r="X35" s="575"/>
      <c r="Y35" s="575"/>
      <c r="Z35" s="575"/>
      <c r="AA35" s="575"/>
      <c r="AB35" s="575"/>
      <c r="AC35" s="575"/>
      <c r="AD35" s="575"/>
      <c r="AE35" s="575"/>
    </row>
    <row r="36" spans="1:31" ht="15">
      <c r="A36" s="727"/>
      <c r="B36" s="619" t="s">
        <v>190</v>
      </c>
      <c r="C36" s="723"/>
      <c r="D36" s="557"/>
      <c r="E36" s="37"/>
      <c r="F36" s="577"/>
      <c r="G36" s="577"/>
      <c r="H36" s="577"/>
      <c r="I36" s="577"/>
      <c r="J36" s="577"/>
      <c r="K36" s="577"/>
      <c r="L36" s="577"/>
      <c r="M36" s="577"/>
      <c r="N36" s="577"/>
      <c r="O36" s="577"/>
      <c r="P36" s="577"/>
      <c r="Q36" s="578"/>
      <c r="T36" s="575"/>
      <c r="U36" s="575"/>
      <c r="V36" s="575"/>
      <c r="W36" s="575"/>
      <c r="X36" s="575"/>
      <c r="Y36" s="575"/>
      <c r="Z36" s="575"/>
      <c r="AA36" s="575"/>
      <c r="AB36" s="575"/>
      <c r="AC36" s="575"/>
      <c r="AD36" s="575"/>
      <c r="AE36" s="575"/>
    </row>
    <row r="37" spans="1:31" ht="15">
      <c r="A37" s="727"/>
      <c r="B37" s="619" t="s">
        <v>189</v>
      </c>
      <c r="C37" s="723"/>
      <c r="D37" s="579"/>
      <c r="E37" s="37"/>
      <c r="F37" s="37">
        <v>10</v>
      </c>
      <c r="G37" s="37">
        <v>10</v>
      </c>
      <c r="H37" s="37">
        <v>10</v>
      </c>
      <c r="I37" s="37">
        <v>10</v>
      </c>
      <c r="J37" s="37">
        <v>10</v>
      </c>
      <c r="K37" s="37">
        <v>10</v>
      </c>
      <c r="L37" s="37">
        <v>10</v>
      </c>
      <c r="M37" s="37">
        <v>10</v>
      </c>
      <c r="N37" s="37">
        <v>10</v>
      </c>
      <c r="O37" s="37">
        <v>10</v>
      </c>
      <c r="P37" s="37">
        <v>10</v>
      </c>
      <c r="Q37" s="584">
        <v>10</v>
      </c>
    </row>
    <row r="38" spans="1:31" s="63" customFormat="1" ht="15">
      <c r="A38" s="727"/>
      <c r="B38" s="626" t="s">
        <v>193</v>
      </c>
      <c r="C38" s="723"/>
      <c r="D38" s="581"/>
      <c r="E38" s="37"/>
      <c r="F38" s="585"/>
      <c r="G38" s="585"/>
      <c r="H38" s="585"/>
      <c r="I38" s="585"/>
      <c r="J38" s="585"/>
      <c r="K38" s="585"/>
      <c r="L38" s="585"/>
      <c r="M38" s="585"/>
      <c r="N38" s="585"/>
      <c r="O38" s="585"/>
      <c r="P38" s="585"/>
      <c r="Q38" s="586"/>
    </row>
    <row r="39" spans="1:31" ht="15">
      <c r="A39" s="727"/>
      <c r="B39" s="619" t="s">
        <v>88</v>
      </c>
      <c r="C39" s="723"/>
      <c r="D39" s="557"/>
      <c r="E39" s="37"/>
      <c r="F39" s="577"/>
      <c r="G39" s="577"/>
      <c r="H39" s="577"/>
      <c r="I39" s="577"/>
      <c r="J39" s="577"/>
      <c r="K39" s="577"/>
      <c r="L39" s="577"/>
      <c r="M39" s="577"/>
      <c r="N39" s="577"/>
      <c r="O39" s="577"/>
      <c r="P39" s="577"/>
      <c r="Q39" s="578"/>
      <c r="T39" s="575"/>
      <c r="U39" s="575"/>
      <c r="V39" s="575"/>
      <c r="W39" s="575"/>
      <c r="X39" s="575"/>
      <c r="Y39" s="575"/>
      <c r="Z39" s="575"/>
      <c r="AA39" s="575"/>
      <c r="AB39" s="575"/>
      <c r="AC39" s="575"/>
      <c r="AD39" s="575"/>
      <c r="AE39" s="575"/>
    </row>
    <row r="40" spans="1:31" ht="15">
      <c r="A40" s="727"/>
      <c r="B40" s="619" t="s">
        <v>190</v>
      </c>
      <c r="C40" s="723"/>
      <c r="D40" s="557"/>
      <c r="E40" s="37"/>
      <c r="F40" s="577"/>
      <c r="G40" s="577"/>
      <c r="H40" s="577"/>
      <c r="I40" s="577"/>
      <c r="J40" s="577"/>
      <c r="K40" s="577"/>
      <c r="L40" s="577"/>
      <c r="M40" s="577"/>
      <c r="N40" s="577"/>
      <c r="O40" s="577"/>
      <c r="P40" s="577"/>
      <c r="Q40" s="578"/>
      <c r="T40" s="575"/>
      <c r="U40" s="575"/>
      <c r="V40" s="575"/>
      <c r="W40" s="575"/>
      <c r="X40" s="575"/>
      <c r="Y40" s="575"/>
      <c r="Z40" s="575"/>
      <c r="AA40" s="575"/>
      <c r="AB40" s="575"/>
      <c r="AC40" s="575"/>
      <c r="AD40" s="575"/>
      <c r="AE40" s="575"/>
    </row>
    <row r="41" spans="1:31" ht="15">
      <c r="A41" s="727"/>
      <c r="B41" s="619" t="s">
        <v>189</v>
      </c>
      <c r="C41" s="723"/>
      <c r="D41" s="579"/>
      <c r="E41" s="37"/>
      <c r="F41" s="37">
        <v>15</v>
      </c>
      <c r="G41" s="37">
        <v>15</v>
      </c>
      <c r="H41" s="37">
        <v>15</v>
      </c>
      <c r="I41" s="37">
        <v>15</v>
      </c>
      <c r="J41" s="37">
        <v>15</v>
      </c>
      <c r="K41" s="37">
        <v>15</v>
      </c>
      <c r="L41" s="37">
        <v>15</v>
      </c>
      <c r="M41" s="37">
        <v>15</v>
      </c>
      <c r="N41" s="37">
        <v>15</v>
      </c>
      <c r="O41" s="37">
        <v>15</v>
      </c>
      <c r="P41" s="37">
        <v>15</v>
      </c>
      <c r="Q41" s="584">
        <v>15</v>
      </c>
    </row>
    <row r="42" spans="1:31" s="63" customFormat="1" ht="15">
      <c r="A42" s="727"/>
      <c r="B42" s="626" t="s">
        <v>194</v>
      </c>
      <c r="C42" s="723"/>
      <c r="D42" s="581"/>
      <c r="E42" s="37"/>
      <c r="F42" s="585"/>
      <c r="G42" s="585"/>
      <c r="H42" s="585"/>
      <c r="I42" s="585"/>
      <c r="J42" s="585"/>
      <c r="K42" s="585"/>
      <c r="L42" s="585"/>
      <c r="M42" s="585"/>
      <c r="N42" s="585"/>
      <c r="O42" s="585"/>
      <c r="P42" s="585"/>
      <c r="Q42" s="586"/>
    </row>
    <row r="43" spans="1:31" ht="15">
      <c r="A43" s="727"/>
      <c r="B43" s="619" t="s">
        <v>88</v>
      </c>
      <c r="C43" s="723"/>
      <c r="D43" s="557"/>
      <c r="E43" s="37"/>
      <c r="F43" s="577"/>
      <c r="G43" s="577"/>
      <c r="H43" s="577"/>
      <c r="I43" s="577"/>
      <c r="J43" s="577"/>
      <c r="K43" s="577"/>
      <c r="L43" s="577"/>
      <c r="M43" s="577"/>
      <c r="N43" s="577"/>
      <c r="O43" s="577"/>
      <c r="P43" s="577"/>
      <c r="Q43" s="578"/>
      <c r="T43" s="575"/>
      <c r="U43" s="575"/>
      <c r="V43" s="575"/>
      <c r="W43" s="575"/>
      <c r="X43" s="575"/>
      <c r="Y43" s="575"/>
      <c r="Z43" s="575"/>
      <c r="AA43" s="575"/>
      <c r="AB43" s="575"/>
      <c r="AC43" s="575"/>
      <c r="AD43" s="575"/>
      <c r="AE43" s="575"/>
    </row>
    <row r="44" spans="1:31" ht="15">
      <c r="A44" s="727"/>
      <c r="B44" s="619" t="s">
        <v>190</v>
      </c>
      <c r="C44" s="723"/>
      <c r="D44" s="557"/>
      <c r="E44" s="37"/>
      <c r="F44" s="577"/>
      <c r="G44" s="577"/>
      <c r="H44" s="577"/>
      <c r="I44" s="577"/>
      <c r="J44" s="577"/>
      <c r="K44" s="577"/>
      <c r="L44" s="577"/>
      <c r="M44" s="577"/>
      <c r="N44" s="577"/>
      <c r="O44" s="577"/>
      <c r="P44" s="577"/>
      <c r="Q44" s="578"/>
      <c r="T44" s="575"/>
      <c r="U44" s="575"/>
      <c r="V44" s="575"/>
      <c r="W44" s="575"/>
      <c r="X44" s="575"/>
      <c r="Y44" s="575"/>
      <c r="Z44" s="575"/>
      <c r="AA44" s="575"/>
      <c r="AB44" s="575"/>
      <c r="AC44" s="575"/>
      <c r="AD44" s="575"/>
      <c r="AE44" s="575"/>
    </row>
    <row r="45" spans="1:31" ht="15">
      <c r="A45" s="726"/>
      <c r="B45" s="620" t="s">
        <v>189</v>
      </c>
      <c r="C45" s="724"/>
      <c r="D45" s="587"/>
      <c r="E45" s="37"/>
      <c r="F45" s="288">
        <v>30</v>
      </c>
      <c r="G45" s="288">
        <v>30</v>
      </c>
      <c r="H45" s="288">
        <v>30</v>
      </c>
      <c r="I45" s="288">
        <v>30</v>
      </c>
      <c r="J45" s="288">
        <v>30</v>
      </c>
      <c r="K45" s="288">
        <v>30</v>
      </c>
      <c r="L45" s="288">
        <v>30</v>
      </c>
      <c r="M45" s="288">
        <v>30</v>
      </c>
      <c r="N45" s="288">
        <v>30</v>
      </c>
      <c r="O45" s="288">
        <v>30</v>
      </c>
      <c r="P45" s="288">
        <v>30</v>
      </c>
      <c r="Q45" s="588">
        <v>30</v>
      </c>
    </row>
    <row r="46" spans="1:31">
      <c r="A46" s="725" t="s">
        <v>100</v>
      </c>
      <c r="B46" s="621" t="s">
        <v>187</v>
      </c>
      <c r="C46" s="722" t="s">
        <v>385</v>
      </c>
      <c r="D46" s="233"/>
      <c r="E46" s="233"/>
      <c r="F46" s="568">
        <f t="shared" ref="F46:Q46" si="11">SUM(F47:F50)</f>
        <v>0</v>
      </c>
      <c r="G46" s="568">
        <f t="shared" si="11"/>
        <v>0</v>
      </c>
      <c r="H46" s="568">
        <f t="shared" si="11"/>
        <v>0</v>
      </c>
      <c r="I46" s="568">
        <f t="shared" si="11"/>
        <v>0</v>
      </c>
      <c r="J46" s="568">
        <f t="shared" si="11"/>
        <v>0</v>
      </c>
      <c r="K46" s="568">
        <f t="shared" si="11"/>
        <v>0</v>
      </c>
      <c r="L46" s="568">
        <f t="shared" si="11"/>
        <v>0</v>
      </c>
      <c r="M46" s="568">
        <f t="shared" si="11"/>
        <v>0</v>
      </c>
      <c r="N46" s="568">
        <f t="shared" si="11"/>
        <v>0</v>
      </c>
      <c r="O46" s="568">
        <f t="shared" si="11"/>
        <v>0</v>
      </c>
      <c r="P46" s="568">
        <f t="shared" si="11"/>
        <v>0</v>
      </c>
      <c r="Q46" s="569">
        <f t="shared" si="11"/>
        <v>0</v>
      </c>
    </row>
    <row r="47" spans="1:31" ht="15">
      <c r="A47" s="727"/>
      <c r="B47" s="623">
        <v>5</v>
      </c>
      <c r="C47" s="723"/>
      <c r="D47" s="570"/>
      <c r="E47" s="570"/>
      <c r="F47" s="589"/>
      <c r="G47" s="589"/>
      <c r="H47" s="589"/>
      <c r="I47" s="589"/>
      <c r="J47" s="589"/>
      <c r="K47" s="589"/>
      <c r="L47" s="589"/>
      <c r="M47" s="589"/>
      <c r="N47" s="589"/>
      <c r="O47" s="589"/>
      <c r="P47" s="589"/>
      <c r="Q47" s="590"/>
    </row>
    <row r="48" spans="1:31" ht="15">
      <c r="A48" s="727"/>
      <c r="B48" s="623">
        <v>10</v>
      </c>
      <c r="C48" s="723"/>
      <c r="D48" s="570"/>
      <c r="E48" s="570"/>
      <c r="F48" s="589"/>
      <c r="G48" s="589"/>
      <c r="H48" s="589"/>
      <c r="I48" s="589"/>
      <c r="J48" s="589"/>
      <c r="K48" s="589"/>
      <c r="L48" s="589"/>
      <c r="M48" s="589"/>
      <c r="N48" s="589"/>
      <c r="O48" s="589"/>
      <c r="P48" s="589"/>
      <c r="Q48" s="590"/>
      <c r="T48" s="575"/>
      <c r="U48" s="575"/>
      <c r="V48" s="575"/>
      <c r="W48" s="575"/>
      <c r="X48" s="575"/>
      <c r="Y48" s="575"/>
      <c r="Z48" s="575"/>
      <c r="AA48" s="575"/>
      <c r="AB48" s="575"/>
      <c r="AC48" s="575"/>
      <c r="AD48" s="575"/>
      <c r="AE48" s="575"/>
    </row>
    <row r="49" spans="1:32" ht="15">
      <c r="A49" s="727"/>
      <c r="B49" s="623">
        <v>20</v>
      </c>
      <c r="C49" s="723"/>
      <c r="D49" s="570"/>
      <c r="E49" s="570"/>
      <c r="F49" s="589"/>
      <c r="G49" s="589"/>
      <c r="H49" s="589"/>
      <c r="I49" s="589"/>
      <c r="J49" s="589"/>
      <c r="K49" s="589"/>
      <c r="L49" s="589"/>
      <c r="M49" s="589"/>
      <c r="N49" s="589"/>
      <c r="O49" s="589"/>
      <c r="P49" s="589"/>
      <c r="Q49" s="590"/>
      <c r="T49" s="575"/>
      <c r="U49" s="575"/>
      <c r="V49" s="575"/>
      <c r="W49" s="575"/>
      <c r="X49" s="575"/>
      <c r="Y49" s="575"/>
      <c r="Z49" s="575"/>
      <c r="AA49" s="575"/>
      <c r="AB49" s="575"/>
      <c r="AC49" s="575"/>
      <c r="AD49" s="575"/>
      <c r="AE49" s="575"/>
    </row>
    <row r="50" spans="1:32" ht="15">
      <c r="A50" s="726"/>
      <c r="B50" s="624">
        <v>30</v>
      </c>
      <c r="C50" s="724"/>
      <c r="D50" s="550"/>
      <c r="E50" s="550"/>
      <c r="F50" s="551"/>
      <c r="G50" s="551"/>
      <c r="H50" s="551"/>
      <c r="I50" s="551"/>
      <c r="J50" s="551"/>
      <c r="K50" s="551"/>
      <c r="L50" s="551"/>
      <c r="M50" s="551"/>
      <c r="N50" s="551"/>
      <c r="O50" s="551"/>
      <c r="P50" s="551"/>
      <c r="Q50" s="552"/>
      <c r="T50" s="575"/>
      <c r="U50" s="575"/>
      <c r="V50" s="575"/>
      <c r="W50" s="575"/>
      <c r="X50" s="575"/>
      <c r="Y50" s="575"/>
      <c r="Z50" s="575"/>
      <c r="AA50" s="575"/>
      <c r="AB50" s="575"/>
      <c r="AC50" s="575"/>
      <c r="AD50" s="575"/>
      <c r="AE50" s="575"/>
    </row>
    <row r="51" spans="1:32" s="594" customFormat="1" ht="15">
      <c r="A51" s="725" t="s">
        <v>109</v>
      </c>
      <c r="B51" s="625" t="s">
        <v>191</v>
      </c>
      <c r="C51" s="722" t="s">
        <v>386</v>
      </c>
      <c r="D51" s="591"/>
      <c r="E51" s="592"/>
      <c r="F51" s="234"/>
      <c r="G51" s="234"/>
      <c r="H51" s="234"/>
      <c r="I51" s="234"/>
      <c r="J51" s="234"/>
      <c r="K51" s="234"/>
      <c r="L51" s="234"/>
      <c r="M51" s="234"/>
      <c r="N51" s="234"/>
      <c r="O51" s="234"/>
      <c r="P51" s="234"/>
      <c r="Q51" s="569"/>
      <c r="R51" s="593"/>
      <c r="S51" s="593"/>
      <c r="T51" s="593"/>
      <c r="U51" s="593"/>
      <c r="V51" s="593"/>
      <c r="W51" s="593"/>
      <c r="X51" s="593"/>
    </row>
    <row r="52" spans="1:32" ht="15">
      <c r="A52" s="727"/>
      <c r="B52" s="619" t="s">
        <v>88</v>
      </c>
      <c r="C52" s="723"/>
      <c r="D52" s="557"/>
      <c r="E52" s="557"/>
      <c r="F52" s="577"/>
      <c r="G52" s="577"/>
      <c r="H52" s="577"/>
      <c r="I52" s="577"/>
      <c r="J52" s="577"/>
      <c r="K52" s="577"/>
      <c r="L52" s="577"/>
      <c r="M52" s="577"/>
      <c r="N52" s="577"/>
      <c r="O52" s="577"/>
      <c r="P52" s="577"/>
      <c r="Q52" s="578"/>
      <c r="R52" s="74"/>
      <c r="S52" s="74"/>
      <c r="T52" s="74"/>
      <c r="U52" s="74"/>
      <c r="V52" s="74"/>
      <c r="W52" s="74"/>
      <c r="X52" s="74"/>
    </row>
    <row r="53" spans="1:32" ht="15">
      <c r="A53" s="727"/>
      <c r="B53" s="619" t="s">
        <v>190</v>
      </c>
      <c r="C53" s="723"/>
      <c r="D53" s="557"/>
      <c r="E53" s="557"/>
      <c r="F53" s="577"/>
      <c r="G53" s="577"/>
      <c r="H53" s="577"/>
      <c r="I53" s="577"/>
      <c r="J53" s="577"/>
      <c r="K53" s="577"/>
      <c r="L53" s="577"/>
      <c r="M53" s="577"/>
      <c r="N53" s="577"/>
      <c r="O53" s="577"/>
      <c r="P53" s="577"/>
      <c r="Q53" s="578"/>
      <c r="R53" s="74"/>
      <c r="S53" s="74"/>
      <c r="T53" s="74"/>
      <c r="U53" s="74"/>
      <c r="V53" s="74"/>
      <c r="W53" s="74"/>
      <c r="X53" s="74"/>
    </row>
    <row r="54" spans="1:32" ht="15">
      <c r="A54" s="727"/>
      <c r="B54" s="619" t="s">
        <v>189</v>
      </c>
      <c r="C54" s="723"/>
      <c r="D54" s="579"/>
      <c r="E54" s="579"/>
      <c r="F54" s="63">
        <v>5</v>
      </c>
      <c r="G54" s="63">
        <v>5</v>
      </c>
      <c r="H54" s="63">
        <v>5</v>
      </c>
      <c r="I54" s="63">
        <v>5</v>
      </c>
      <c r="J54" s="63">
        <v>5</v>
      </c>
      <c r="K54" s="63">
        <v>5</v>
      </c>
      <c r="L54" s="63">
        <v>5</v>
      </c>
      <c r="M54" s="63">
        <v>5</v>
      </c>
      <c r="N54" s="63">
        <v>5</v>
      </c>
      <c r="O54" s="63">
        <v>5</v>
      </c>
      <c r="P54" s="63">
        <v>5</v>
      </c>
      <c r="Q54" s="580">
        <v>5</v>
      </c>
    </row>
    <row r="55" spans="1:32" s="63" customFormat="1" ht="15">
      <c r="A55" s="727"/>
      <c r="B55" s="626" t="s">
        <v>192</v>
      </c>
      <c r="C55" s="723"/>
      <c r="D55" s="593"/>
      <c r="E55" s="593"/>
      <c r="F55" s="585"/>
      <c r="G55" s="585"/>
      <c r="H55" s="585"/>
      <c r="I55" s="585"/>
      <c r="J55" s="585"/>
      <c r="K55" s="585"/>
      <c r="L55" s="585"/>
      <c r="M55" s="585"/>
      <c r="N55" s="585"/>
      <c r="O55" s="585"/>
      <c r="P55" s="585"/>
      <c r="Q55" s="586"/>
      <c r="R55" s="595"/>
      <c r="S55" s="595"/>
    </row>
    <row r="56" spans="1:32" ht="15">
      <c r="A56" s="727"/>
      <c r="B56" s="619" t="s">
        <v>88</v>
      </c>
      <c r="C56" s="723"/>
      <c r="D56" s="557"/>
      <c r="F56" s="577"/>
      <c r="G56" s="577"/>
      <c r="H56" s="577"/>
      <c r="I56" s="577"/>
      <c r="J56" s="577"/>
      <c r="K56" s="577"/>
      <c r="L56" s="577"/>
      <c r="M56" s="577"/>
      <c r="N56" s="577"/>
      <c r="O56" s="577"/>
      <c r="P56" s="577"/>
      <c r="Q56" s="578"/>
      <c r="R56" s="74"/>
      <c r="S56" s="74"/>
      <c r="T56" s="575"/>
      <c r="U56" s="575"/>
      <c r="V56" s="575"/>
      <c r="W56" s="575"/>
      <c r="X56" s="575"/>
      <c r="Y56" s="575"/>
      <c r="Z56" s="575"/>
      <c r="AA56" s="575"/>
      <c r="AB56" s="575"/>
      <c r="AC56" s="575"/>
      <c r="AD56" s="575"/>
      <c r="AE56" s="575"/>
      <c r="AF56" s="575"/>
    </row>
    <row r="57" spans="1:32" ht="15">
      <c r="A57" s="727"/>
      <c r="B57" s="619" t="s">
        <v>190</v>
      </c>
      <c r="C57" s="723"/>
      <c r="D57" s="557"/>
      <c r="E57" s="557"/>
      <c r="F57" s="577"/>
      <c r="G57" s="577"/>
      <c r="H57" s="577"/>
      <c r="I57" s="577"/>
      <c r="J57" s="577"/>
      <c r="K57" s="577"/>
      <c r="L57" s="577"/>
      <c r="M57" s="577"/>
      <c r="N57" s="577"/>
      <c r="O57" s="577"/>
      <c r="P57" s="577"/>
      <c r="Q57" s="578"/>
      <c r="R57" s="74"/>
      <c r="S57" s="74"/>
      <c r="T57" s="575"/>
      <c r="U57" s="575"/>
      <c r="V57" s="575"/>
      <c r="W57" s="575"/>
      <c r="X57" s="575"/>
      <c r="Y57" s="575"/>
      <c r="Z57" s="575"/>
      <c r="AA57" s="575"/>
      <c r="AB57" s="575"/>
      <c r="AC57" s="575"/>
      <c r="AD57" s="575"/>
      <c r="AE57" s="575"/>
      <c r="AF57" s="575"/>
    </row>
    <row r="58" spans="1:32" ht="15">
      <c r="A58" s="727"/>
      <c r="B58" s="619" t="s">
        <v>189</v>
      </c>
      <c r="C58" s="723"/>
      <c r="F58" s="37">
        <v>10</v>
      </c>
      <c r="G58" s="37">
        <v>10</v>
      </c>
      <c r="H58" s="37">
        <v>10</v>
      </c>
      <c r="I58" s="37">
        <v>10</v>
      </c>
      <c r="J58" s="37">
        <v>10</v>
      </c>
      <c r="K58" s="37">
        <v>10</v>
      </c>
      <c r="L58" s="37">
        <v>10</v>
      </c>
      <c r="M58" s="37">
        <v>10</v>
      </c>
      <c r="N58" s="37">
        <v>10</v>
      </c>
      <c r="O58" s="37">
        <v>10</v>
      </c>
      <c r="P58" s="37">
        <v>10</v>
      </c>
      <c r="Q58" s="584">
        <v>10</v>
      </c>
    </row>
    <row r="59" spans="1:32" s="63" customFormat="1" ht="15">
      <c r="A59" s="727"/>
      <c r="B59" s="626" t="s">
        <v>195</v>
      </c>
      <c r="C59" s="723"/>
      <c r="D59" s="593"/>
      <c r="E59" s="593"/>
      <c r="F59" s="585"/>
      <c r="G59" s="585"/>
      <c r="H59" s="585"/>
      <c r="I59" s="585"/>
      <c r="J59" s="585"/>
      <c r="K59" s="585"/>
      <c r="L59" s="585"/>
      <c r="M59" s="585"/>
      <c r="N59" s="585"/>
      <c r="O59" s="585"/>
      <c r="P59" s="585"/>
      <c r="Q59" s="586"/>
      <c r="R59" s="595"/>
      <c r="S59" s="595"/>
    </row>
    <row r="60" spans="1:32" ht="15">
      <c r="A60" s="727"/>
      <c r="B60" s="619" t="s">
        <v>88</v>
      </c>
      <c r="C60" s="723"/>
      <c r="D60" s="596"/>
      <c r="F60" s="577"/>
      <c r="G60" s="577"/>
      <c r="H60" s="577"/>
      <c r="I60" s="577"/>
      <c r="J60" s="577"/>
      <c r="K60" s="577"/>
      <c r="L60" s="577"/>
      <c r="M60" s="577"/>
      <c r="N60" s="577"/>
      <c r="O60" s="577"/>
      <c r="P60" s="577"/>
      <c r="Q60" s="578"/>
      <c r="R60" s="74"/>
      <c r="S60" s="74"/>
      <c r="T60" s="575"/>
      <c r="U60" s="575"/>
      <c r="V60" s="575"/>
      <c r="W60" s="575"/>
      <c r="X60" s="575"/>
      <c r="Y60" s="575"/>
      <c r="Z60" s="575"/>
      <c r="AA60" s="575"/>
      <c r="AB60" s="575"/>
      <c r="AC60" s="575"/>
      <c r="AD60" s="575"/>
      <c r="AE60" s="575"/>
    </row>
    <row r="61" spans="1:32" ht="15">
      <c r="A61" s="727"/>
      <c r="B61" s="619" t="s">
        <v>190</v>
      </c>
      <c r="C61" s="723"/>
      <c r="D61" s="596"/>
      <c r="E61" s="596"/>
      <c r="F61" s="577"/>
      <c r="G61" s="577"/>
      <c r="H61" s="577"/>
      <c r="I61" s="577"/>
      <c r="J61" s="577"/>
      <c r="K61" s="577"/>
      <c r="L61" s="577"/>
      <c r="M61" s="577"/>
      <c r="N61" s="577"/>
      <c r="O61" s="577"/>
      <c r="P61" s="577"/>
      <c r="Q61" s="578"/>
      <c r="R61" s="74"/>
      <c r="S61" s="74"/>
      <c r="T61" s="575"/>
      <c r="U61" s="575"/>
      <c r="V61" s="575"/>
      <c r="W61" s="575"/>
      <c r="X61" s="575"/>
      <c r="Y61" s="575"/>
      <c r="Z61" s="575"/>
      <c r="AA61" s="575"/>
      <c r="AB61" s="575"/>
      <c r="AC61" s="575"/>
      <c r="AD61" s="575"/>
      <c r="AE61" s="575"/>
    </row>
    <row r="62" spans="1:32" ht="15">
      <c r="A62" s="727"/>
      <c r="B62" s="619" t="s">
        <v>189</v>
      </c>
      <c r="C62" s="723"/>
      <c r="F62" s="37">
        <v>20</v>
      </c>
      <c r="G62" s="37">
        <v>20</v>
      </c>
      <c r="H62" s="37">
        <v>20</v>
      </c>
      <c r="I62" s="37">
        <v>20</v>
      </c>
      <c r="J62" s="37">
        <v>20</v>
      </c>
      <c r="K62" s="37">
        <v>20</v>
      </c>
      <c r="L62" s="37">
        <v>20</v>
      </c>
      <c r="M62" s="37">
        <v>20</v>
      </c>
      <c r="N62" s="37">
        <v>20</v>
      </c>
      <c r="O62" s="37">
        <v>20</v>
      </c>
      <c r="P62" s="37">
        <v>20</v>
      </c>
      <c r="Q62" s="584">
        <v>20</v>
      </c>
    </row>
    <row r="63" spans="1:32" s="63" customFormat="1" ht="15">
      <c r="A63" s="727"/>
      <c r="B63" s="626" t="s">
        <v>194</v>
      </c>
      <c r="C63" s="723"/>
      <c r="D63" s="593"/>
      <c r="E63" s="593"/>
      <c r="F63" s="585"/>
      <c r="G63" s="585"/>
      <c r="H63" s="585"/>
      <c r="I63" s="585"/>
      <c r="J63" s="585"/>
      <c r="K63" s="585"/>
      <c r="L63" s="585"/>
      <c r="M63" s="585"/>
      <c r="N63" s="585"/>
      <c r="O63" s="585"/>
      <c r="P63" s="585"/>
      <c r="Q63" s="586"/>
      <c r="R63" s="595"/>
      <c r="S63" s="595"/>
    </row>
    <row r="64" spans="1:32" ht="15">
      <c r="A64" s="727"/>
      <c r="B64" s="619" t="s">
        <v>88</v>
      </c>
      <c r="C64" s="723"/>
      <c r="D64" s="596"/>
      <c r="F64" s="577"/>
      <c r="G64" s="577"/>
      <c r="H64" s="577"/>
      <c r="I64" s="577"/>
      <c r="J64" s="577"/>
      <c r="K64" s="577"/>
      <c r="L64" s="577"/>
      <c r="M64" s="577"/>
      <c r="N64" s="577"/>
      <c r="O64" s="577"/>
      <c r="P64" s="577"/>
      <c r="Q64" s="578"/>
      <c r="R64" s="74"/>
      <c r="S64" s="74"/>
      <c r="T64" s="575"/>
      <c r="U64" s="575"/>
      <c r="V64" s="575"/>
      <c r="W64" s="575"/>
      <c r="X64" s="575"/>
      <c r="Y64" s="575"/>
      <c r="Z64" s="575"/>
      <c r="AA64" s="575"/>
      <c r="AB64" s="575"/>
      <c r="AC64" s="575"/>
      <c r="AD64" s="575"/>
      <c r="AE64" s="575"/>
    </row>
    <row r="65" spans="1:32" ht="15">
      <c r="A65" s="727"/>
      <c r="B65" s="619" t="s">
        <v>190</v>
      </c>
      <c r="C65" s="723"/>
      <c r="D65" s="596"/>
      <c r="E65" s="596"/>
      <c r="F65" s="577"/>
      <c r="G65" s="577"/>
      <c r="H65" s="577"/>
      <c r="I65" s="577"/>
      <c r="J65" s="577"/>
      <c r="K65" s="577"/>
      <c r="L65" s="577"/>
      <c r="M65" s="577"/>
      <c r="N65" s="577"/>
      <c r="O65" s="577"/>
      <c r="P65" s="577"/>
      <c r="Q65" s="578"/>
      <c r="R65" s="74"/>
      <c r="S65" s="74"/>
      <c r="T65" s="575"/>
      <c r="U65" s="575"/>
      <c r="V65" s="575"/>
      <c r="W65" s="575"/>
      <c r="X65" s="575"/>
      <c r="Y65" s="575"/>
      <c r="Z65" s="575"/>
      <c r="AA65" s="575"/>
      <c r="AB65" s="575"/>
      <c r="AC65" s="575"/>
      <c r="AD65" s="575"/>
      <c r="AE65" s="575"/>
    </row>
    <row r="66" spans="1:32" ht="15">
      <c r="A66" s="726"/>
      <c r="B66" s="620" t="s">
        <v>189</v>
      </c>
      <c r="C66" s="724"/>
      <c r="D66" s="597"/>
      <c r="E66" s="597"/>
      <c r="F66" s="288">
        <v>30</v>
      </c>
      <c r="G66" s="288">
        <v>30</v>
      </c>
      <c r="H66" s="288">
        <v>30</v>
      </c>
      <c r="I66" s="288">
        <v>30</v>
      </c>
      <c r="J66" s="288">
        <v>30</v>
      </c>
      <c r="K66" s="288">
        <v>30</v>
      </c>
      <c r="L66" s="288">
        <v>30</v>
      </c>
      <c r="M66" s="288">
        <v>30</v>
      </c>
      <c r="N66" s="288">
        <v>30</v>
      </c>
      <c r="O66" s="288">
        <v>30</v>
      </c>
      <c r="P66" s="288">
        <v>30</v>
      </c>
      <c r="Q66" s="588">
        <v>30</v>
      </c>
    </row>
    <row r="67" spans="1:32">
      <c r="A67" s="725" t="s">
        <v>202</v>
      </c>
      <c r="B67" s="621" t="s">
        <v>186</v>
      </c>
      <c r="C67" s="722" t="s">
        <v>387</v>
      </c>
      <c r="D67" s="567"/>
      <c r="E67" s="567"/>
      <c r="F67" s="598">
        <f t="shared" ref="F67:Q67" si="12">F68+F69</f>
        <v>0</v>
      </c>
      <c r="G67" s="598">
        <f t="shared" si="12"/>
        <v>0</v>
      </c>
      <c r="H67" s="598">
        <f t="shared" si="12"/>
        <v>0</v>
      </c>
      <c r="I67" s="598">
        <f t="shared" si="12"/>
        <v>0</v>
      </c>
      <c r="J67" s="598">
        <f t="shared" si="12"/>
        <v>0</v>
      </c>
      <c r="K67" s="598">
        <f t="shared" si="12"/>
        <v>0</v>
      </c>
      <c r="L67" s="598">
        <f t="shared" si="12"/>
        <v>0</v>
      </c>
      <c r="M67" s="598">
        <f t="shared" si="12"/>
        <v>0</v>
      </c>
      <c r="N67" s="598">
        <f t="shared" si="12"/>
        <v>0</v>
      </c>
      <c r="O67" s="598">
        <f t="shared" si="12"/>
        <v>0</v>
      </c>
      <c r="P67" s="598">
        <f t="shared" si="12"/>
        <v>0</v>
      </c>
      <c r="Q67" s="599">
        <f t="shared" si="12"/>
        <v>0</v>
      </c>
    </row>
    <row r="68" spans="1:32">
      <c r="A68" s="727"/>
      <c r="B68" s="622" t="s">
        <v>204</v>
      </c>
      <c r="C68" s="723"/>
      <c r="D68" s="570"/>
      <c r="E68" s="570"/>
      <c r="F68" s="571"/>
      <c r="G68" s="571"/>
      <c r="H68" s="571"/>
      <c r="I68" s="571"/>
      <c r="J68" s="571"/>
      <c r="K68" s="571"/>
      <c r="L68" s="571"/>
      <c r="M68" s="571"/>
      <c r="N68" s="571"/>
      <c r="O68" s="571"/>
      <c r="P68" s="571"/>
      <c r="Q68" s="572"/>
      <c r="T68" s="575"/>
      <c r="U68" s="575"/>
      <c r="V68" s="575"/>
      <c r="W68" s="575"/>
      <c r="X68" s="575"/>
      <c r="Y68" s="575"/>
      <c r="Z68" s="575"/>
      <c r="AA68" s="575"/>
      <c r="AB68" s="575"/>
      <c r="AC68" s="575"/>
      <c r="AD68" s="575"/>
      <c r="AE68" s="575"/>
    </row>
    <row r="69" spans="1:32">
      <c r="A69" s="726"/>
      <c r="B69" s="617" t="s">
        <v>203</v>
      </c>
      <c r="C69" s="724"/>
      <c r="D69" s="550"/>
      <c r="E69" s="550"/>
      <c r="F69" s="573"/>
      <c r="G69" s="573"/>
      <c r="H69" s="573"/>
      <c r="I69" s="573"/>
      <c r="J69" s="573"/>
      <c r="K69" s="573"/>
      <c r="L69" s="573"/>
      <c r="M69" s="573"/>
      <c r="N69" s="573"/>
      <c r="O69" s="573"/>
      <c r="P69" s="573"/>
      <c r="Q69" s="574"/>
      <c r="T69" s="575"/>
      <c r="U69" s="575"/>
      <c r="V69" s="575"/>
      <c r="W69" s="575"/>
      <c r="X69" s="575"/>
      <c r="Y69" s="575"/>
      <c r="Z69" s="575"/>
      <c r="AA69" s="575"/>
      <c r="AB69" s="575"/>
      <c r="AC69" s="575"/>
      <c r="AD69" s="575"/>
      <c r="AE69" s="575"/>
    </row>
    <row r="70" spans="1:32">
      <c r="A70" s="725" t="s">
        <v>205</v>
      </c>
      <c r="B70" s="621" t="s">
        <v>187</v>
      </c>
      <c r="C70" s="722" t="s">
        <v>387</v>
      </c>
      <c r="D70" s="233"/>
      <c r="E70" s="233"/>
      <c r="F70" s="234">
        <f t="shared" ref="F70:Q70" si="13">SUM(F71:F74)</f>
        <v>0</v>
      </c>
      <c r="G70" s="234">
        <f t="shared" si="13"/>
        <v>0</v>
      </c>
      <c r="H70" s="234">
        <f t="shared" si="13"/>
        <v>0</v>
      </c>
      <c r="I70" s="234">
        <f t="shared" si="13"/>
        <v>0</v>
      </c>
      <c r="J70" s="234">
        <f t="shared" si="13"/>
        <v>0</v>
      </c>
      <c r="K70" s="234">
        <f t="shared" si="13"/>
        <v>0</v>
      </c>
      <c r="L70" s="234">
        <f t="shared" si="13"/>
        <v>0</v>
      </c>
      <c r="M70" s="234">
        <f t="shared" si="13"/>
        <v>0</v>
      </c>
      <c r="N70" s="234">
        <f t="shared" si="13"/>
        <v>0</v>
      </c>
      <c r="O70" s="234">
        <f t="shared" si="13"/>
        <v>0</v>
      </c>
      <c r="P70" s="234">
        <f t="shared" si="13"/>
        <v>0</v>
      </c>
      <c r="Q70" s="235">
        <f t="shared" si="13"/>
        <v>0</v>
      </c>
    </row>
    <row r="71" spans="1:32" ht="15">
      <c r="A71" s="727"/>
      <c r="B71" s="623">
        <v>5</v>
      </c>
      <c r="C71" s="723"/>
      <c r="D71" s="570"/>
      <c r="E71" s="570"/>
      <c r="F71" s="589"/>
      <c r="G71" s="589"/>
      <c r="H71" s="589"/>
      <c r="I71" s="589"/>
      <c r="J71" s="589"/>
      <c r="K71" s="589"/>
      <c r="L71" s="589"/>
      <c r="M71" s="589"/>
      <c r="N71" s="589"/>
      <c r="O71" s="589"/>
      <c r="P71" s="589"/>
      <c r="Q71" s="590"/>
      <c r="T71" s="575"/>
      <c r="U71" s="575"/>
      <c r="V71" s="575"/>
      <c r="W71" s="575"/>
      <c r="X71" s="575"/>
      <c r="Y71" s="575"/>
      <c r="Z71" s="575"/>
      <c r="AA71" s="575"/>
      <c r="AB71" s="575"/>
      <c r="AC71" s="575"/>
      <c r="AD71" s="575"/>
      <c r="AE71" s="575"/>
    </row>
    <row r="72" spans="1:32" ht="15">
      <c r="A72" s="727"/>
      <c r="B72" s="623">
        <v>10</v>
      </c>
      <c r="C72" s="723"/>
      <c r="D72" s="570"/>
      <c r="E72" s="570"/>
      <c r="F72" s="589"/>
      <c r="G72" s="589"/>
      <c r="H72" s="589"/>
      <c r="I72" s="589"/>
      <c r="J72" s="589"/>
      <c r="K72" s="589"/>
      <c r="L72" s="589"/>
      <c r="M72" s="589"/>
      <c r="N72" s="589"/>
      <c r="O72" s="589"/>
      <c r="P72" s="589"/>
      <c r="Q72" s="590"/>
      <c r="T72" s="575"/>
      <c r="U72" s="575"/>
      <c r="V72" s="575"/>
      <c r="W72" s="575"/>
      <c r="X72" s="575"/>
      <c r="Y72" s="575"/>
      <c r="Z72" s="575"/>
      <c r="AA72" s="575"/>
      <c r="AB72" s="575"/>
      <c r="AC72" s="575"/>
      <c r="AD72" s="575"/>
      <c r="AE72" s="575"/>
    </row>
    <row r="73" spans="1:32" ht="15">
      <c r="A73" s="727"/>
      <c r="B73" s="623">
        <v>20</v>
      </c>
      <c r="C73" s="723"/>
      <c r="D73" s="570"/>
      <c r="E73" s="570"/>
      <c r="F73" s="589"/>
      <c r="G73" s="589"/>
      <c r="H73" s="589"/>
      <c r="I73" s="589"/>
      <c r="J73" s="589"/>
      <c r="K73" s="589"/>
      <c r="L73" s="589"/>
      <c r="M73" s="589"/>
      <c r="N73" s="589"/>
      <c r="O73" s="589"/>
      <c r="P73" s="589"/>
      <c r="Q73" s="590"/>
      <c r="T73" s="575"/>
      <c r="U73" s="575"/>
      <c r="V73" s="575"/>
      <c r="W73" s="575"/>
      <c r="X73" s="575"/>
      <c r="Y73" s="575"/>
      <c r="Z73" s="575"/>
      <c r="AA73" s="575"/>
      <c r="AB73" s="575"/>
      <c r="AC73" s="575"/>
      <c r="AD73" s="575"/>
      <c r="AE73" s="575"/>
    </row>
    <row r="74" spans="1:32" ht="15">
      <c r="A74" s="726"/>
      <c r="B74" s="624">
        <v>30</v>
      </c>
      <c r="C74" s="724"/>
      <c r="D74" s="550"/>
      <c r="E74" s="550"/>
      <c r="F74" s="551"/>
      <c r="G74" s="551"/>
      <c r="H74" s="551"/>
      <c r="I74" s="551"/>
      <c r="J74" s="551"/>
      <c r="K74" s="551"/>
      <c r="L74" s="551"/>
      <c r="M74" s="551"/>
      <c r="N74" s="551"/>
      <c r="O74" s="551"/>
      <c r="P74" s="551"/>
      <c r="Q74" s="552"/>
      <c r="T74" s="575"/>
      <c r="U74" s="575"/>
      <c r="V74" s="575"/>
      <c r="W74" s="575"/>
      <c r="X74" s="575"/>
      <c r="Y74" s="575"/>
      <c r="Z74" s="575"/>
      <c r="AA74" s="575"/>
      <c r="AB74" s="575"/>
      <c r="AC74" s="575"/>
      <c r="AD74" s="575"/>
      <c r="AE74" s="575"/>
    </row>
    <row r="75" spans="1:32" s="594" customFormat="1" ht="15">
      <c r="A75" s="725" t="s">
        <v>206</v>
      </c>
      <c r="B75" s="625" t="s">
        <v>191</v>
      </c>
      <c r="C75" s="722" t="s">
        <v>388</v>
      </c>
      <c r="D75" s="591"/>
      <c r="E75" s="591"/>
      <c r="F75" s="568"/>
      <c r="G75" s="591"/>
      <c r="H75" s="591"/>
      <c r="I75" s="591"/>
      <c r="J75" s="591"/>
      <c r="K75" s="591"/>
      <c r="L75" s="591"/>
      <c r="M75" s="591"/>
      <c r="N75" s="591"/>
      <c r="O75" s="591"/>
      <c r="P75" s="591"/>
      <c r="Q75" s="600"/>
      <c r="R75" s="593"/>
      <c r="S75" s="593"/>
      <c r="T75" s="593"/>
      <c r="U75" s="593"/>
      <c r="V75" s="593"/>
      <c r="W75" s="593"/>
      <c r="X75" s="593"/>
    </row>
    <row r="76" spans="1:32" ht="15">
      <c r="A76" s="727"/>
      <c r="B76" s="619" t="s">
        <v>209</v>
      </c>
      <c r="C76" s="723"/>
      <c r="D76" s="557"/>
      <c r="E76" s="557"/>
      <c r="F76" s="577"/>
      <c r="G76" s="577"/>
      <c r="H76" s="577"/>
      <c r="I76" s="577"/>
      <c r="J76" s="577"/>
      <c r="K76" s="577"/>
      <c r="L76" s="577"/>
      <c r="M76" s="577"/>
      <c r="N76" s="577"/>
      <c r="O76" s="577"/>
      <c r="P76" s="577"/>
      <c r="Q76" s="578"/>
      <c r="R76" s="74"/>
      <c r="S76" s="74"/>
      <c r="T76" s="575"/>
      <c r="U76" s="575"/>
      <c r="V76" s="575"/>
      <c r="W76" s="575"/>
      <c r="X76" s="575"/>
      <c r="Y76" s="575"/>
      <c r="Z76" s="575"/>
      <c r="AA76" s="575"/>
      <c r="AB76" s="575"/>
      <c r="AC76" s="575"/>
      <c r="AD76" s="575"/>
      <c r="AE76" s="575"/>
      <c r="AF76" s="575"/>
    </row>
    <row r="77" spans="1:32" ht="15">
      <c r="A77" s="727"/>
      <c r="B77" s="619" t="s">
        <v>189</v>
      </c>
      <c r="C77" s="723"/>
      <c r="D77" s="579"/>
      <c r="E77" s="579"/>
      <c r="F77" s="63">
        <v>5</v>
      </c>
      <c r="G77" s="63">
        <v>5</v>
      </c>
      <c r="H77" s="63">
        <v>5</v>
      </c>
      <c r="I77" s="63">
        <v>5</v>
      </c>
      <c r="J77" s="63">
        <v>5</v>
      </c>
      <c r="K77" s="63">
        <v>5</v>
      </c>
      <c r="L77" s="63">
        <v>5</v>
      </c>
      <c r="M77" s="63">
        <v>5</v>
      </c>
      <c r="N77" s="63">
        <v>5</v>
      </c>
      <c r="O77" s="63">
        <v>5</v>
      </c>
      <c r="P77" s="63">
        <v>5</v>
      </c>
      <c r="Q77" s="580">
        <v>5</v>
      </c>
    </row>
    <row r="78" spans="1:32" s="63" customFormat="1" ht="15">
      <c r="A78" s="727"/>
      <c r="B78" s="626" t="s">
        <v>192</v>
      </c>
      <c r="C78" s="723"/>
      <c r="D78" s="593"/>
      <c r="E78" s="593"/>
      <c r="F78" s="601"/>
      <c r="G78" s="593"/>
      <c r="H78" s="593"/>
      <c r="I78" s="593"/>
      <c r="J78" s="593"/>
      <c r="K78" s="593"/>
      <c r="L78" s="593"/>
      <c r="M78" s="593"/>
      <c r="N78" s="593"/>
      <c r="O78" s="593"/>
      <c r="P78" s="593"/>
      <c r="Q78" s="602"/>
      <c r="R78" s="595"/>
      <c r="S78" s="595"/>
      <c r="T78" s="595"/>
      <c r="U78" s="595"/>
      <c r="V78" s="595"/>
      <c r="W78" s="595"/>
      <c r="X78" s="595"/>
    </row>
    <row r="79" spans="1:32" ht="15">
      <c r="A79" s="727"/>
      <c r="B79" s="619" t="s">
        <v>209</v>
      </c>
      <c r="C79" s="723"/>
      <c r="D79" s="557"/>
      <c r="E79" s="557"/>
      <c r="F79" s="577"/>
      <c r="G79" s="577"/>
      <c r="H79" s="577"/>
      <c r="I79" s="577"/>
      <c r="J79" s="577"/>
      <c r="K79" s="577"/>
      <c r="L79" s="577"/>
      <c r="M79" s="577"/>
      <c r="N79" s="577"/>
      <c r="O79" s="577"/>
      <c r="P79" s="577"/>
      <c r="Q79" s="578"/>
      <c r="R79" s="74"/>
      <c r="S79" s="74"/>
      <c r="T79" s="575"/>
      <c r="U79" s="575"/>
      <c r="V79" s="575"/>
      <c r="W79" s="575"/>
      <c r="X79" s="575"/>
      <c r="Y79" s="575"/>
      <c r="Z79" s="575"/>
      <c r="AA79" s="575"/>
      <c r="AB79" s="575"/>
      <c r="AC79" s="575"/>
      <c r="AD79" s="575"/>
      <c r="AE79" s="575"/>
    </row>
    <row r="80" spans="1:32" ht="15">
      <c r="A80" s="727"/>
      <c r="B80" s="619" t="s">
        <v>189</v>
      </c>
      <c r="C80" s="723"/>
      <c r="F80" s="37">
        <v>10</v>
      </c>
      <c r="G80" s="37">
        <v>10</v>
      </c>
      <c r="H80" s="37">
        <v>10</v>
      </c>
      <c r="I80" s="37">
        <v>10</v>
      </c>
      <c r="J80" s="37">
        <v>10</v>
      </c>
      <c r="K80" s="37">
        <v>10</v>
      </c>
      <c r="L80" s="37">
        <v>10</v>
      </c>
      <c r="M80" s="37">
        <v>10</v>
      </c>
      <c r="N80" s="37">
        <v>10</v>
      </c>
      <c r="O80" s="37">
        <v>10</v>
      </c>
      <c r="P80" s="37">
        <v>10</v>
      </c>
      <c r="Q80" s="584">
        <v>10</v>
      </c>
    </row>
    <row r="81" spans="1:31" s="63" customFormat="1" ht="15">
      <c r="A81" s="727"/>
      <c r="B81" s="626" t="s">
        <v>195</v>
      </c>
      <c r="C81" s="723"/>
      <c r="D81" s="593"/>
      <c r="E81" s="593"/>
      <c r="F81" s="601"/>
      <c r="G81" s="593"/>
      <c r="H81" s="593"/>
      <c r="I81" s="593"/>
      <c r="J81" s="593"/>
      <c r="K81" s="593"/>
      <c r="L81" s="593"/>
      <c r="M81" s="593"/>
      <c r="N81" s="593"/>
      <c r="O81" s="593"/>
      <c r="P81" s="593"/>
      <c r="Q81" s="602"/>
      <c r="R81" s="595"/>
      <c r="S81" s="595"/>
      <c r="T81" s="595"/>
      <c r="U81" s="595"/>
      <c r="V81" s="595"/>
      <c r="W81" s="595"/>
      <c r="X81" s="595"/>
    </row>
    <row r="82" spans="1:31" ht="15">
      <c r="A82" s="727"/>
      <c r="B82" s="619" t="s">
        <v>209</v>
      </c>
      <c r="C82" s="723"/>
      <c r="D82" s="596"/>
      <c r="E82" s="596"/>
      <c r="F82" s="577"/>
      <c r="G82" s="577"/>
      <c r="H82" s="577"/>
      <c r="I82" s="577"/>
      <c r="J82" s="577"/>
      <c r="K82" s="577"/>
      <c r="L82" s="577"/>
      <c r="M82" s="577"/>
      <c r="N82" s="577"/>
      <c r="O82" s="577"/>
      <c r="P82" s="577"/>
      <c r="Q82" s="578"/>
      <c r="R82" s="74"/>
      <c r="S82" s="74"/>
      <c r="T82" s="575"/>
      <c r="U82" s="575"/>
      <c r="V82" s="575"/>
      <c r="W82" s="575"/>
      <c r="X82" s="575"/>
      <c r="Y82" s="575"/>
      <c r="Z82" s="575"/>
      <c r="AA82" s="575"/>
      <c r="AB82" s="575"/>
      <c r="AC82" s="575"/>
      <c r="AD82" s="575"/>
      <c r="AE82" s="575"/>
    </row>
    <row r="83" spans="1:31" ht="15">
      <c r="A83" s="727"/>
      <c r="B83" s="619" t="s">
        <v>189</v>
      </c>
      <c r="C83" s="723"/>
      <c r="F83" s="37">
        <v>20</v>
      </c>
      <c r="G83" s="37">
        <v>20</v>
      </c>
      <c r="H83" s="37">
        <v>20</v>
      </c>
      <c r="I83" s="37">
        <v>20</v>
      </c>
      <c r="J83" s="37">
        <v>20</v>
      </c>
      <c r="K83" s="37">
        <v>20</v>
      </c>
      <c r="L83" s="37">
        <v>20</v>
      </c>
      <c r="M83" s="37">
        <v>20</v>
      </c>
      <c r="N83" s="37">
        <v>20</v>
      </c>
      <c r="O83" s="37">
        <v>20</v>
      </c>
      <c r="P83" s="37">
        <v>20</v>
      </c>
      <c r="Q83" s="584">
        <v>20</v>
      </c>
    </row>
    <row r="84" spans="1:31" s="63" customFormat="1" ht="15">
      <c r="A84" s="727"/>
      <c r="B84" s="626" t="s">
        <v>194</v>
      </c>
      <c r="C84" s="723"/>
      <c r="D84" s="593"/>
      <c r="E84" s="593"/>
      <c r="F84" s="601"/>
      <c r="G84" s="593"/>
      <c r="H84" s="593"/>
      <c r="I84" s="593"/>
      <c r="J84" s="593"/>
      <c r="K84" s="593"/>
      <c r="L84" s="593"/>
      <c r="M84" s="593"/>
      <c r="N84" s="593"/>
      <c r="O84" s="593"/>
      <c r="P84" s="593"/>
      <c r="Q84" s="602"/>
      <c r="R84" s="595"/>
      <c r="S84" s="595"/>
      <c r="T84" s="595"/>
      <c r="U84" s="595"/>
      <c r="V84" s="595"/>
      <c r="W84" s="595"/>
      <c r="X84" s="595"/>
    </row>
    <row r="85" spans="1:31" ht="15">
      <c r="A85" s="727"/>
      <c r="B85" s="619" t="s">
        <v>209</v>
      </c>
      <c r="C85" s="723"/>
      <c r="D85" s="596"/>
      <c r="E85" s="596"/>
      <c r="F85" s="577"/>
      <c r="G85" s="577"/>
      <c r="H85" s="577"/>
      <c r="I85" s="577"/>
      <c r="J85" s="577"/>
      <c r="K85" s="577"/>
      <c r="L85" s="577"/>
      <c r="M85" s="577"/>
      <c r="N85" s="577"/>
      <c r="O85" s="577"/>
      <c r="P85" s="577"/>
      <c r="Q85" s="578"/>
      <c r="R85" s="74"/>
      <c r="S85" s="74"/>
      <c r="T85" s="575"/>
      <c r="U85" s="575"/>
      <c r="V85" s="575"/>
      <c r="W85" s="575"/>
      <c r="X85" s="575"/>
      <c r="Y85" s="575"/>
      <c r="Z85" s="575"/>
      <c r="AA85" s="575"/>
      <c r="AB85" s="575"/>
      <c r="AC85" s="575"/>
      <c r="AD85" s="575"/>
      <c r="AE85" s="575"/>
    </row>
    <row r="86" spans="1:31" ht="15">
      <c r="A86" s="726"/>
      <c r="B86" s="620" t="s">
        <v>189</v>
      </c>
      <c r="C86" s="724"/>
      <c r="D86" s="597"/>
      <c r="E86" s="597"/>
      <c r="F86" s="288">
        <v>30</v>
      </c>
      <c r="G86" s="288">
        <v>30</v>
      </c>
      <c r="H86" s="288">
        <v>30</v>
      </c>
      <c r="I86" s="288">
        <v>30</v>
      </c>
      <c r="J86" s="288">
        <v>30</v>
      </c>
      <c r="K86" s="288">
        <v>30</v>
      </c>
      <c r="L86" s="288">
        <v>30</v>
      </c>
      <c r="M86" s="288">
        <v>30</v>
      </c>
      <c r="N86" s="288">
        <v>30</v>
      </c>
      <c r="O86" s="288">
        <v>30</v>
      </c>
      <c r="P86" s="288">
        <v>30</v>
      </c>
      <c r="Q86" s="588">
        <v>30</v>
      </c>
    </row>
    <row r="87" spans="1:31">
      <c r="A87" s="725" t="s">
        <v>207</v>
      </c>
      <c r="B87" s="621" t="s">
        <v>187</v>
      </c>
      <c r="C87" s="722" t="s">
        <v>387</v>
      </c>
      <c r="D87" s="234"/>
      <c r="E87" s="234"/>
      <c r="F87" s="234">
        <f t="shared" ref="F87:Q87" si="14">SUM(F88:F90)</f>
        <v>0</v>
      </c>
      <c r="G87" s="234">
        <f t="shared" si="14"/>
        <v>0</v>
      </c>
      <c r="H87" s="234">
        <f t="shared" si="14"/>
        <v>0</v>
      </c>
      <c r="I87" s="234">
        <f t="shared" si="14"/>
        <v>0</v>
      </c>
      <c r="J87" s="234">
        <f t="shared" si="14"/>
        <v>0</v>
      </c>
      <c r="K87" s="234">
        <f t="shared" si="14"/>
        <v>0</v>
      </c>
      <c r="L87" s="234">
        <f t="shared" si="14"/>
        <v>0</v>
      </c>
      <c r="M87" s="234">
        <f t="shared" si="14"/>
        <v>0</v>
      </c>
      <c r="N87" s="234">
        <f t="shared" si="14"/>
        <v>0</v>
      </c>
      <c r="O87" s="234">
        <f t="shared" si="14"/>
        <v>0</v>
      </c>
      <c r="P87" s="234">
        <f t="shared" si="14"/>
        <v>0</v>
      </c>
      <c r="Q87" s="235">
        <f t="shared" si="14"/>
        <v>0</v>
      </c>
    </row>
    <row r="88" spans="1:31" ht="15">
      <c r="A88" s="727"/>
      <c r="B88" s="623">
        <v>5</v>
      </c>
      <c r="C88" s="723"/>
      <c r="D88" s="603"/>
      <c r="E88" s="603"/>
      <c r="F88" s="589"/>
      <c r="G88" s="589"/>
      <c r="H88" s="589"/>
      <c r="I88" s="589"/>
      <c r="J88" s="589"/>
      <c r="K88" s="589"/>
      <c r="L88" s="589"/>
      <c r="M88" s="589"/>
      <c r="N88" s="589"/>
      <c r="O88" s="589"/>
      <c r="P88" s="589"/>
      <c r="Q88" s="590"/>
    </row>
    <row r="89" spans="1:31" ht="15">
      <c r="A89" s="727"/>
      <c r="B89" s="623">
        <v>10</v>
      </c>
      <c r="C89" s="723"/>
      <c r="D89" s="603"/>
      <c r="E89" s="603"/>
      <c r="F89" s="589"/>
      <c r="G89" s="589"/>
      <c r="H89" s="589"/>
      <c r="I89" s="589"/>
      <c r="J89" s="589"/>
      <c r="K89" s="589"/>
      <c r="L89" s="589"/>
      <c r="M89" s="589"/>
      <c r="N89" s="589"/>
      <c r="O89" s="589"/>
      <c r="P89" s="589"/>
      <c r="Q89" s="590"/>
      <c r="T89" s="575"/>
      <c r="U89" s="575"/>
      <c r="V89" s="575"/>
      <c r="W89" s="575"/>
      <c r="X89" s="575"/>
      <c r="Y89" s="575"/>
      <c r="Z89" s="575"/>
      <c r="AA89" s="575"/>
      <c r="AB89" s="575"/>
      <c r="AC89" s="575"/>
      <c r="AD89" s="575"/>
      <c r="AE89" s="575"/>
    </row>
    <row r="90" spans="1:31" ht="15">
      <c r="A90" s="726"/>
      <c r="B90" s="624">
        <v>30</v>
      </c>
      <c r="C90" s="724"/>
      <c r="D90" s="239"/>
      <c r="E90" s="239"/>
      <c r="F90" s="551"/>
      <c r="G90" s="551"/>
      <c r="H90" s="551"/>
      <c r="I90" s="551"/>
      <c r="J90" s="551"/>
      <c r="K90" s="551"/>
      <c r="L90" s="551"/>
      <c r="M90" s="551"/>
      <c r="N90" s="551"/>
      <c r="O90" s="551"/>
      <c r="P90" s="551"/>
      <c r="Q90" s="552"/>
      <c r="T90" s="575"/>
      <c r="U90" s="575"/>
      <c r="V90" s="575"/>
      <c r="W90" s="575"/>
      <c r="X90" s="575"/>
      <c r="Y90" s="575"/>
      <c r="Z90" s="575"/>
      <c r="AA90" s="575"/>
      <c r="AB90" s="575"/>
      <c r="AC90" s="575"/>
      <c r="AD90" s="575"/>
      <c r="AE90" s="575"/>
    </row>
    <row r="91" spans="1:31" s="594" customFormat="1" ht="15">
      <c r="A91" s="725" t="s">
        <v>208</v>
      </c>
      <c r="B91" s="625" t="s">
        <v>97</v>
      </c>
      <c r="C91" s="722" t="s">
        <v>389</v>
      </c>
      <c r="D91" s="591"/>
      <c r="E91" s="591"/>
      <c r="F91" s="591"/>
      <c r="G91" s="591"/>
      <c r="H91" s="591"/>
      <c r="I91" s="591"/>
      <c r="J91" s="591"/>
      <c r="K91" s="591"/>
      <c r="L91" s="591"/>
      <c r="M91" s="591"/>
      <c r="N91" s="591"/>
      <c r="O91" s="591"/>
      <c r="P91" s="591"/>
      <c r="Q91" s="600"/>
      <c r="R91" s="593"/>
      <c r="S91" s="593"/>
      <c r="T91" s="593"/>
      <c r="U91" s="593"/>
      <c r="V91" s="593"/>
      <c r="W91" s="593"/>
      <c r="X91" s="593"/>
      <c r="Y91" s="593"/>
    </row>
    <row r="92" spans="1:31" ht="15">
      <c r="A92" s="727"/>
      <c r="B92" s="619" t="s">
        <v>88</v>
      </c>
      <c r="C92" s="723"/>
      <c r="D92" s="557"/>
      <c r="E92" s="557"/>
      <c r="F92" s="236"/>
      <c r="G92" s="236"/>
      <c r="H92" s="236"/>
      <c r="I92" s="236"/>
      <c r="J92" s="236"/>
      <c r="K92" s="236"/>
      <c r="L92" s="236"/>
      <c r="M92" s="236"/>
      <c r="N92" s="236"/>
      <c r="O92" s="236"/>
      <c r="P92" s="236"/>
      <c r="Q92" s="237"/>
      <c r="R92" s="74"/>
      <c r="S92" s="74"/>
      <c r="T92" s="74"/>
      <c r="U92" s="74"/>
      <c r="V92" s="74"/>
      <c r="W92" s="74"/>
      <c r="X92" s="74"/>
      <c r="Y92" s="74"/>
    </row>
    <row r="93" spans="1:31" ht="15">
      <c r="A93" s="727"/>
      <c r="B93" s="619" t="s">
        <v>190</v>
      </c>
      <c r="C93" s="723"/>
      <c r="D93" s="557"/>
      <c r="E93" s="557"/>
      <c r="F93" s="236"/>
      <c r="G93" s="236"/>
      <c r="H93" s="236"/>
      <c r="I93" s="236"/>
      <c r="J93" s="236"/>
      <c r="K93" s="236"/>
      <c r="L93" s="236"/>
      <c r="M93" s="236"/>
      <c r="N93" s="236"/>
      <c r="O93" s="236"/>
      <c r="P93" s="236"/>
      <c r="Q93" s="237"/>
      <c r="R93" s="74"/>
      <c r="S93" s="74"/>
      <c r="T93" s="74"/>
      <c r="U93" s="74"/>
      <c r="V93" s="74"/>
      <c r="W93" s="74"/>
      <c r="X93" s="74"/>
      <c r="Y93" s="74"/>
    </row>
    <row r="94" spans="1:31" ht="15">
      <c r="A94" s="727"/>
      <c r="B94" s="619" t="s">
        <v>189</v>
      </c>
      <c r="C94" s="723"/>
      <c r="F94" s="37">
        <v>5</v>
      </c>
      <c r="G94" s="37">
        <v>5</v>
      </c>
      <c r="H94" s="37">
        <v>5</v>
      </c>
      <c r="I94" s="37">
        <v>5</v>
      </c>
      <c r="J94" s="37">
        <v>5</v>
      </c>
      <c r="K94" s="37">
        <v>5</v>
      </c>
      <c r="L94" s="37">
        <v>5</v>
      </c>
      <c r="M94" s="37">
        <v>5</v>
      </c>
      <c r="N94" s="37">
        <v>5</v>
      </c>
      <c r="O94" s="37">
        <v>5</v>
      </c>
      <c r="P94" s="37">
        <v>5</v>
      </c>
      <c r="Q94" s="584">
        <v>5</v>
      </c>
    </row>
    <row r="95" spans="1:31" s="63" customFormat="1" ht="15">
      <c r="A95" s="727"/>
      <c r="B95" s="626" t="s">
        <v>98</v>
      </c>
      <c r="C95" s="723"/>
      <c r="D95" s="604"/>
      <c r="E95" s="604"/>
      <c r="F95" s="604"/>
      <c r="G95" s="604"/>
      <c r="H95" s="604"/>
      <c r="I95" s="604"/>
      <c r="J95" s="604"/>
      <c r="K95" s="604"/>
      <c r="L95" s="604"/>
      <c r="M95" s="604"/>
      <c r="N95" s="604"/>
      <c r="O95" s="604"/>
      <c r="P95" s="604"/>
      <c r="Q95" s="605"/>
      <c r="R95" s="595"/>
      <c r="S95" s="595"/>
      <c r="T95" s="595"/>
      <c r="U95" s="595"/>
      <c r="V95" s="595"/>
      <c r="W95" s="595"/>
      <c r="X95" s="595"/>
      <c r="Y95" s="595"/>
    </row>
    <row r="96" spans="1:31" ht="15">
      <c r="A96" s="727"/>
      <c r="B96" s="619" t="s">
        <v>88</v>
      </c>
      <c r="C96" s="723"/>
      <c r="D96" s="557"/>
      <c r="E96" s="557"/>
      <c r="F96" s="236"/>
      <c r="G96" s="236"/>
      <c r="H96" s="577"/>
      <c r="I96" s="577"/>
      <c r="J96" s="236"/>
      <c r="K96" s="236"/>
      <c r="L96" s="236"/>
      <c r="M96" s="236"/>
      <c r="N96" s="236"/>
      <c r="O96" s="236"/>
      <c r="P96" s="236"/>
      <c r="Q96" s="237"/>
      <c r="R96" s="74"/>
      <c r="S96" s="74"/>
      <c r="T96" s="575"/>
      <c r="U96" s="575"/>
      <c r="V96" s="575"/>
      <c r="W96" s="575"/>
      <c r="X96" s="575"/>
      <c r="Y96" s="575"/>
      <c r="Z96" s="575"/>
      <c r="AA96" s="575"/>
      <c r="AB96" s="575"/>
      <c r="AC96" s="575"/>
      <c r="AD96" s="575"/>
      <c r="AE96" s="575"/>
    </row>
    <row r="97" spans="1:31" ht="15">
      <c r="A97" s="727"/>
      <c r="B97" s="619" t="s">
        <v>190</v>
      </c>
      <c r="C97" s="723"/>
      <c r="D97" s="557"/>
      <c r="E97" s="557"/>
      <c r="F97" s="236"/>
      <c r="G97" s="236"/>
      <c r="H97" s="236"/>
      <c r="I97" s="236"/>
      <c r="J97" s="236"/>
      <c r="K97" s="236"/>
      <c r="L97" s="236"/>
      <c r="M97" s="236"/>
      <c r="N97" s="236"/>
      <c r="O97" s="236"/>
      <c r="P97" s="236"/>
      <c r="Q97" s="237"/>
      <c r="R97" s="74"/>
      <c r="S97" s="74"/>
      <c r="T97" s="575"/>
      <c r="U97" s="575"/>
      <c r="V97" s="575"/>
      <c r="W97" s="575"/>
      <c r="X97" s="575"/>
      <c r="Y97" s="575"/>
      <c r="Z97" s="575"/>
      <c r="AA97" s="575"/>
      <c r="AB97" s="575"/>
      <c r="AC97" s="575"/>
      <c r="AD97" s="575"/>
      <c r="AE97" s="575"/>
    </row>
    <row r="98" spans="1:31" ht="15">
      <c r="A98" s="727"/>
      <c r="B98" s="619" t="s">
        <v>189</v>
      </c>
      <c r="C98" s="723"/>
      <c r="F98" s="37">
        <v>10</v>
      </c>
      <c r="G98" s="37">
        <v>10</v>
      </c>
      <c r="H98" s="37">
        <v>10</v>
      </c>
      <c r="I98" s="37">
        <v>10</v>
      </c>
      <c r="J98" s="37">
        <v>10</v>
      </c>
      <c r="K98" s="37">
        <v>10</v>
      </c>
      <c r="L98" s="37">
        <v>10</v>
      </c>
      <c r="M98" s="37">
        <v>10</v>
      </c>
      <c r="N98" s="37">
        <v>10</v>
      </c>
      <c r="O98" s="37">
        <v>10</v>
      </c>
      <c r="P98" s="37">
        <v>10</v>
      </c>
      <c r="Q98" s="584">
        <v>10</v>
      </c>
    </row>
    <row r="99" spans="1:31" s="63" customFormat="1" ht="15">
      <c r="A99" s="727"/>
      <c r="B99" s="626" t="s">
        <v>99</v>
      </c>
      <c r="C99" s="723"/>
      <c r="D99" s="593"/>
      <c r="E99" s="593"/>
      <c r="F99" s="593"/>
      <c r="G99" s="593"/>
      <c r="H99" s="593"/>
      <c r="I99" s="593"/>
      <c r="J99" s="593"/>
      <c r="K99" s="593"/>
      <c r="L99" s="593"/>
      <c r="M99" s="593"/>
      <c r="N99" s="593"/>
      <c r="O99" s="593"/>
      <c r="P99" s="593"/>
      <c r="Q99" s="602"/>
      <c r="R99" s="595"/>
      <c r="S99" s="595"/>
      <c r="T99" s="595"/>
      <c r="U99" s="595"/>
      <c r="V99" s="595"/>
      <c r="W99" s="595"/>
      <c r="X99" s="595"/>
      <c r="Y99" s="595"/>
    </row>
    <row r="100" spans="1:31" ht="15">
      <c r="A100" s="727"/>
      <c r="B100" s="619" t="s">
        <v>88</v>
      </c>
      <c r="C100" s="723"/>
      <c r="D100" s="557"/>
      <c r="E100" s="557"/>
      <c r="F100" s="236"/>
      <c r="G100" s="236"/>
      <c r="H100" s="577"/>
      <c r="I100" s="577"/>
      <c r="J100" s="236"/>
      <c r="K100" s="236"/>
      <c r="L100" s="236"/>
      <c r="M100" s="236"/>
      <c r="N100" s="236"/>
      <c r="O100" s="236"/>
      <c r="P100" s="236"/>
      <c r="Q100" s="237"/>
      <c r="R100" s="74"/>
      <c r="S100" s="74"/>
      <c r="T100" s="74"/>
      <c r="U100" s="74"/>
      <c r="V100" s="74"/>
      <c r="W100" s="74"/>
      <c r="X100" s="74"/>
      <c r="Y100" s="74"/>
    </row>
    <row r="101" spans="1:31" ht="15">
      <c r="A101" s="727"/>
      <c r="B101" s="619" t="s">
        <v>190</v>
      </c>
      <c r="C101" s="723"/>
      <c r="D101" s="606">
        <f>(((F47*F52)+(F48*F56)+(F49*F60)+(F50*F64)))</f>
        <v>0</v>
      </c>
      <c r="E101" s="557">
        <f>(1+(((F47*F52)+(F48*F56)+(F49*F60)+(F50*F64)))*(1+F13)-1)</f>
        <v>0</v>
      </c>
      <c r="F101" s="236"/>
      <c r="G101" s="236"/>
      <c r="H101" s="236"/>
      <c r="I101" s="236"/>
      <c r="J101" s="236"/>
      <c r="K101" s="236"/>
      <c r="L101" s="236"/>
      <c r="M101" s="236"/>
      <c r="N101" s="236"/>
      <c r="O101" s="236"/>
      <c r="P101" s="236"/>
      <c r="Q101" s="237"/>
      <c r="R101" s="74"/>
      <c r="S101" s="74"/>
      <c r="T101" s="74"/>
      <c r="U101" s="74"/>
      <c r="V101" s="74"/>
      <c r="W101" s="74"/>
      <c r="X101" s="74"/>
      <c r="Y101" s="74"/>
    </row>
    <row r="102" spans="1:31" ht="15">
      <c r="A102" s="726"/>
      <c r="B102" s="620" t="s">
        <v>189</v>
      </c>
      <c r="C102" s="724"/>
      <c r="D102" s="597"/>
      <c r="E102" s="597"/>
      <c r="F102" s="288">
        <v>30</v>
      </c>
      <c r="G102" s="288">
        <v>30</v>
      </c>
      <c r="H102" s="288">
        <v>30</v>
      </c>
      <c r="I102" s="288">
        <v>30</v>
      </c>
      <c r="J102" s="288">
        <v>30</v>
      </c>
      <c r="K102" s="288">
        <v>30</v>
      </c>
      <c r="L102" s="288">
        <v>30</v>
      </c>
      <c r="M102" s="288">
        <v>30</v>
      </c>
      <c r="N102" s="288">
        <v>30</v>
      </c>
      <c r="O102" s="288">
        <v>30</v>
      </c>
      <c r="P102" s="288">
        <v>30</v>
      </c>
      <c r="Q102" s="588">
        <v>30</v>
      </c>
    </row>
    <row r="103" spans="1:31" ht="15">
      <c r="A103" s="725" t="s">
        <v>258</v>
      </c>
      <c r="B103" s="627" t="s">
        <v>236</v>
      </c>
      <c r="C103" s="635"/>
      <c r="D103" s="238">
        <v>7.1499999999999994E-2</v>
      </c>
      <c r="E103" s="238">
        <v>9.6502203085417612E-2</v>
      </c>
      <c r="F103" s="392">
        <f>(F23*((F26*F31)+(F27*F35)+(F28*F39)+(F29*F43)))+(F24*(1+(((F47*F52)+(F48*F56)+(F49*F60)+(F50*F64)))*(1+F13)-1))</f>
        <v>0</v>
      </c>
      <c r="G103" s="392">
        <f t="shared" ref="G103:Q103" si="15">(G23*((G26*G31)+(G27*G35)+(G28*G39)+(G29*G43)))+(G24*(1+(((G47*G52)+(G48*G56)+(G49*G60)+(G50*G64)))*(1+G13)-1))</f>
        <v>0</v>
      </c>
      <c r="H103" s="392">
        <f t="shared" si="15"/>
        <v>0</v>
      </c>
      <c r="I103" s="392">
        <f t="shared" si="15"/>
        <v>0</v>
      </c>
      <c r="J103" s="392">
        <f t="shared" si="15"/>
        <v>0</v>
      </c>
      <c r="K103" s="392">
        <f t="shared" si="15"/>
        <v>0</v>
      </c>
      <c r="L103" s="392">
        <f t="shared" si="15"/>
        <v>0</v>
      </c>
      <c r="M103" s="392">
        <f t="shared" si="15"/>
        <v>0</v>
      </c>
      <c r="N103" s="392">
        <f t="shared" si="15"/>
        <v>0</v>
      </c>
      <c r="O103" s="392">
        <f t="shared" si="15"/>
        <v>0</v>
      </c>
      <c r="P103" s="392">
        <f t="shared" si="15"/>
        <v>0</v>
      </c>
      <c r="Q103" s="393">
        <f t="shared" si="15"/>
        <v>0</v>
      </c>
      <c r="T103" s="54"/>
      <c r="U103" s="54"/>
      <c r="V103" s="54"/>
      <c r="W103" s="54"/>
      <c r="X103" s="54"/>
      <c r="Y103" s="54"/>
      <c r="Z103" s="54"/>
      <c r="AA103" s="54"/>
      <c r="AB103" s="54"/>
      <c r="AC103" s="54"/>
      <c r="AD103" s="54"/>
      <c r="AE103" s="54"/>
    </row>
    <row r="104" spans="1:31" ht="15">
      <c r="A104" s="726"/>
      <c r="B104" s="620" t="s">
        <v>235</v>
      </c>
      <c r="C104" s="633"/>
      <c r="D104" s="239">
        <v>3.6499999999999998E-2</v>
      </c>
      <c r="E104" s="239">
        <v>4.2313529159283582E-2</v>
      </c>
      <c r="F104" s="394">
        <f>(F68*((F71*F76)+(F72*F79)+(F73*F82)+(F74*F85)))+(F69*((F88*F92)+(F89*F96)+(F90*F100)))</f>
        <v>0</v>
      </c>
      <c r="G104" s="394">
        <f t="shared" ref="G104:Q104" si="16">(G68*((G71*G76)+(G72*G79)+(G73*G82)+(G74*G85)))+(G69*((G88*G92)+(G89*G96)+(G90*G100)))</f>
        <v>0</v>
      </c>
      <c r="H104" s="394">
        <f t="shared" si="16"/>
        <v>0</v>
      </c>
      <c r="I104" s="394">
        <f t="shared" si="16"/>
        <v>0</v>
      </c>
      <c r="J104" s="394">
        <f t="shared" si="16"/>
        <v>0</v>
      </c>
      <c r="K104" s="394">
        <f t="shared" si="16"/>
        <v>0</v>
      </c>
      <c r="L104" s="394">
        <f t="shared" si="16"/>
        <v>0</v>
      </c>
      <c r="M104" s="394">
        <f t="shared" si="16"/>
        <v>0</v>
      </c>
      <c r="N104" s="394">
        <f t="shared" si="16"/>
        <v>0</v>
      </c>
      <c r="O104" s="394">
        <f t="shared" si="16"/>
        <v>0</v>
      </c>
      <c r="P104" s="394">
        <f t="shared" si="16"/>
        <v>0</v>
      </c>
      <c r="Q104" s="395">
        <f t="shared" si="16"/>
        <v>0</v>
      </c>
      <c r="T104" s="54"/>
      <c r="U104" s="54"/>
      <c r="V104" s="54"/>
      <c r="W104" s="54"/>
      <c r="X104" s="54"/>
      <c r="Y104" s="54"/>
      <c r="Z104" s="54"/>
      <c r="AA104" s="54"/>
      <c r="AB104" s="54"/>
      <c r="AC104" s="54"/>
      <c r="AD104" s="54"/>
      <c r="AE104" s="54"/>
    </row>
    <row r="105" spans="1:31" ht="15">
      <c r="A105" s="725" t="s">
        <v>257</v>
      </c>
      <c r="B105" s="627" t="s">
        <v>236</v>
      </c>
      <c r="C105" s="635"/>
      <c r="D105" s="238">
        <v>7.1499999999999994E-2</v>
      </c>
      <c r="E105" s="238"/>
      <c r="F105" s="392">
        <f>(F23*((F26*F32)+(F27*F36)+(F28*F40)+(F29*F44)))+(F24*(1+(((F47*F53)+(F48*F57)+(F49*F61)+(F50*F65)))*(1+F13)-1))</f>
        <v>0</v>
      </c>
      <c r="G105" s="392">
        <f t="shared" ref="G105:Q105" si="17">(G23*((G26*G32)+(G27*G36)+(G28*G40)+(G29*G44)))+(G24*(1+(((G47*G53)+(G48*G57)+(G49*G61)+(G50*G65)))*(1+G13)-1))</f>
        <v>0</v>
      </c>
      <c r="H105" s="392">
        <f t="shared" si="17"/>
        <v>0</v>
      </c>
      <c r="I105" s="392">
        <f t="shared" si="17"/>
        <v>0</v>
      </c>
      <c r="J105" s="392">
        <f t="shared" si="17"/>
        <v>0</v>
      </c>
      <c r="K105" s="392">
        <f t="shared" si="17"/>
        <v>0</v>
      </c>
      <c r="L105" s="392">
        <f t="shared" si="17"/>
        <v>0</v>
      </c>
      <c r="M105" s="392">
        <f t="shared" si="17"/>
        <v>0</v>
      </c>
      <c r="N105" s="392">
        <f t="shared" si="17"/>
        <v>0</v>
      </c>
      <c r="O105" s="392">
        <f t="shared" si="17"/>
        <v>0</v>
      </c>
      <c r="P105" s="392">
        <f t="shared" si="17"/>
        <v>0</v>
      </c>
      <c r="Q105" s="393">
        <f t="shared" si="17"/>
        <v>0</v>
      </c>
      <c r="T105" s="54"/>
      <c r="U105" s="54"/>
      <c r="V105" s="54"/>
      <c r="W105" s="54"/>
      <c r="X105" s="54"/>
      <c r="Y105" s="54"/>
      <c r="Z105" s="54"/>
      <c r="AA105" s="54"/>
      <c r="AB105" s="54"/>
      <c r="AC105" s="54"/>
      <c r="AD105" s="54"/>
      <c r="AE105" s="54"/>
    </row>
    <row r="106" spans="1:31" ht="15">
      <c r="A106" s="726"/>
      <c r="B106" s="620" t="s">
        <v>235</v>
      </c>
      <c r="C106" s="633"/>
      <c r="D106" s="239">
        <v>3.6499999999999998E-2</v>
      </c>
      <c r="E106" s="239"/>
      <c r="F106" s="394">
        <f>(F68*((F71*F76)+(F72*F79)+(F73*F82)+(F74*F85)))+(F69*((F88*F93)+(F89*F97)+(F90*F101)))</f>
        <v>0</v>
      </c>
      <c r="G106" s="394">
        <f t="shared" ref="G106:Q106" si="18">(G68*((G71*G76)+(G72*G79)+(G73*G82)+(G74*G85)))+(G69*((G88*G93)+(G89*G97)+(G90*G101)))</f>
        <v>0</v>
      </c>
      <c r="H106" s="394">
        <f t="shared" si="18"/>
        <v>0</v>
      </c>
      <c r="I106" s="394">
        <f t="shared" si="18"/>
        <v>0</v>
      </c>
      <c r="J106" s="394">
        <f t="shared" si="18"/>
        <v>0</v>
      </c>
      <c r="K106" s="394">
        <f t="shared" si="18"/>
        <v>0</v>
      </c>
      <c r="L106" s="394">
        <f t="shared" si="18"/>
        <v>0</v>
      </c>
      <c r="M106" s="394">
        <f t="shared" si="18"/>
        <v>0</v>
      </c>
      <c r="N106" s="394">
        <f t="shared" si="18"/>
        <v>0</v>
      </c>
      <c r="O106" s="394">
        <f t="shared" si="18"/>
        <v>0</v>
      </c>
      <c r="P106" s="394">
        <f t="shared" si="18"/>
        <v>0</v>
      </c>
      <c r="Q106" s="395">
        <f t="shared" si="18"/>
        <v>0</v>
      </c>
      <c r="T106" s="54"/>
      <c r="U106" s="54"/>
      <c r="V106" s="54"/>
      <c r="W106" s="54"/>
      <c r="X106" s="54"/>
      <c r="Y106" s="54"/>
      <c r="Z106" s="54"/>
      <c r="AA106" s="54"/>
      <c r="AB106" s="54"/>
      <c r="AC106" s="54"/>
      <c r="AD106" s="54"/>
      <c r="AE106" s="54"/>
    </row>
    <row r="107" spans="1:31" ht="15">
      <c r="A107" s="725" t="s">
        <v>27</v>
      </c>
      <c r="B107" s="628" t="s">
        <v>239</v>
      </c>
      <c r="C107" s="719" t="s">
        <v>390</v>
      </c>
      <c r="D107" s="227">
        <v>-43452.380316675029</v>
      </c>
      <c r="E107" s="227">
        <f>-14414742.801023/1000</f>
        <v>-14414.742801023001</v>
      </c>
      <c r="F107" s="228"/>
      <c r="G107" s="228"/>
      <c r="H107" s="228"/>
      <c r="I107" s="228"/>
      <c r="J107" s="228"/>
      <c r="K107" s="228"/>
      <c r="L107" s="228"/>
      <c r="M107" s="228"/>
      <c r="N107" s="228"/>
      <c r="O107" s="228"/>
      <c r="P107" s="228"/>
      <c r="Q107" s="229"/>
      <c r="T107" s="52"/>
      <c r="U107" s="52"/>
      <c r="V107" s="52"/>
      <c r="W107" s="52"/>
      <c r="X107" s="52"/>
      <c r="Y107" s="52"/>
      <c r="Z107" s="52"/>
      <c r="AA107" s="52"/>
      <c r="AB107" s="52"/>
      <c r="AC107" s="52"/>
      <c r="AD107" s="52"/>
      <c r="AE107" s="52"/>
    </row>
    <row r="108" spans="1:31">
      <c r="A108" s="726"/>
      <c r="B108" s="617" t="s">
        <v>92</v>
      </c>
      <c r="C108" s="720"/>
      <c r="D108" s="550">
        <v>-3.6435427144604203E-2</v>
      </c>
      <c r="E108" s="550">
        <f t="shared" ref="E108:Q108" si="19">E107/E9</f>
        <v>-9.8560831693347666E-3</v>
      </c>
      <c r="F108" s="607">
        <f t="shared" si="19"/>
        <v>0</v>
      </c>
      <c r="G108" s="607">
        <f t="shared" si="19"/>
        <v>0</v>
      </c>
      <c r="H108" s="607">
        <f t="shared" si="19"/>
        <v>0</v>
      </c>
      <c r="I108" s="607">
        <f t="shared" si="19"/>
        <v>0</v>
      </c>
      <c r="J108" s="607">
        <f t="shared" si="19"/>
        <v>0</v>
      </c>
      <c r="K108" s="607">
        <f t="shared" si="19"/>
        <v>0</v>
      </c>
      <c r="L108" s="607">
        <f t="shared" si="19"/>
        <v>0</v>
      </c>
      <c r="M108" s="607">
        <f t="shared" si="19"/>
        <v>0</v>
      </c>
      <c r="N108" s="607">
        <f t="shared" si="19"/>
        <v>0</v>
      </c>
      <c r="O108" s="607">
        <f t="shared" si="19"/>
        <v>0</v>
      </c>
      <c r="P108" s="607">
        <f t="shared" si="19"/>
        <v>0</v>
      </c>
      <c r="Q108" s="608">
        <f t="shared" si="19"/>
        <v>0</v>
      </c>
      <c r="T108" s="54"/>
      <c r="U108" s="54"/>
      <c r="V108" s="54"/>
      <c r="W108" s="54"/>
      <c r="X108" s="54"/>
      <c r="Y108" s="54"/>
      <c r="Z108" s="54"/>
      <c r="AA108" s="54"/>
      <c r="AB108" s="54"/>
      <c r="AC108" s="54"/>
      <c r="AD108" s="54"/>
      <c r="AE108" s="54"/>
    </row>
    <row r="109" spans="1:31" ht="22" customHeight="1">
      <c r="A109" s="725" t="s">
        <v>149</v>
      </c>
      <c r="B109" s="628" t="s">
        <v>239</v>
      </c>
      <c r="C109" s="719" t="s">
        <v>398</v>
      </c>
      <c r="D109" s="227">
        <v>22409.839486309025</v>
      </c>
      <c r="E109" s="227">
        <f>(44988.359710841*1000)/1000</f>
        <v>44988.359710841003</v>
      </c>
      <c r="F109" s="228"/>
      <c r="G109" s="228"/>
      <c r="H109" s="228"/>
      <c r="I109" s="228"/>
      <c r="J109" s="228"/>
      <c r="K109" s="228"/>
      <c r="L109" s="228"/>
      <c r="M109" s="228"/>
      <c r="N109" s="228"/>
      <c r="O109" s="228"/>
      <c r="P109" s="228"/>
      <c r="Q109" s="229"/>
      <c r="T109" s="52"/>
      <c r="U109" s="52"/>
      <c r="V109" s="52"/>
      <c r="W109" s="52"/>
      <c r="X109" s="52"/>
      <c r="Y109" s="52"/>
      <c r="Z109" s="52"/>
      <c r="AA109" s="52"/>
      <c r="AB109" s="52"/>
      <c r="AC109" s="52"/>
      <c r="AD109" s="52"/>
      <c r="AE109" s="52"/>
    </row>
    <row r="110" spans="1:31" ht="22" customHeight="1">
      <c r="A110" s="726"/>
      <c r="B110" s="617" t="s">
        <v>92</v>
      </c>
      <c r="C110" s="720"/>
      <c r="D110" s="550">
        <v>1.8790963072104639E-2</v>
      </c>
      <c r="E110" s="550">
        <f t="shared" ref="E110:Q110" si="20">E109/E9</f>
        <v>3.0760799625958637E-2</v>
      </c>
      <c r="F110" s="609">
        <f t="shared" si="20"/>
        <v>0</v>
      </c>
      <c r="G110" s="609">
        <f t="shared" si="20"/>
        <v>0</v>
      </c>
      <c r="H110" s="609">
        <f t="shared" si="20"/>
        <v>0</v>
      </c>
      <c r="I110" s="609">
        <f t="shared" si="20"/>
        <v>0</v>
      </c>
      <c r="J110" s="609">
        <f t="shared" si="20"/>
        <v>0</v>
      </c>
      <c r="K110" s="609">
        <f t="shared" si="20"/>
        <v>0</v>
      </c>
      <c r="L110" s="609">
        <f t="shared" si="20"/>
        <v>0</v>
      </c>
      <c r="M110" s="609">
        <f t="shared" si="20"/>
        <v>0</v>
      </c>
      <c r="N110" s="609">
        <f t="shared" si="20"/>
        <v>0</v>
      </c>
      <c r="O110" s="609">
        <f t="shared" si="20"/>
        <v>0</v>
      </c>
      <c r="P110" s="609">
        <f t="shared" si="20"/>
        <v>0</v>
      </c>
      <c r="Q110" s="610">
        <f t="shared" si="20"/>
        <v>0</v>
      </c>
      <c r="T110" s="54"/>
      <c r="U110" s="54"/>
      <c r="V110" s="54"/>
      <c r="W110" s="54"/>
      <c r="X110" s="54"/>
      <c r="Y110" s="54"/>
      <c r="Z110" s="54"/>
      <c r="AA110" s="54"/>
      <c r="AB110" s="54"/>
      <c r="AC110" s="54"/>
      <c r="AD110" s="54"/>
      <c r="AE110" s="54"/>
    </row>
    <row r="111" spans="1:31" ht="15">
      <c r="A111" s="725" t="s">
        <v>150</v>
      </c>
      <c r="B111" s="628" t="s">
        <v>239</v>
      </c>
      <c r="C111" s="719" t="s">
        <v>399</v>
      </c>
      <c r="D111" s="227">
        <v>399.0107549339823</v>
      </c>
      <c r="E111" s="227">
        <v>275.06070240795003</v>
      </c>
      <c r="F111" s="228"/>
      <c r="G111" s="228"/>
      <c r="H111" s="228"/>
      <c r="I111" s="228"/>
      <c r="J111" s="228"/>
      <c r="K111" s="228"/>
      <c r="L111" s="228"/>
      <c r="M111" s="228"/>
      <c r="N111" s="228"/>
      <c r="O111" s="228"/>
      <c r="P111" s="228"/>
      <c r="Q111" s="229"/>
      <c r="T111" s="52"/>
      <c r="U111" s="52"/>
      <c r="V111" s="52"/>
      <c r="W111" s="52"/>
      <c r="X111" s="52"/>
      <c r="Y111" s="52"/>
      <c r="Z111" s="52"/>
      <c r="AA111" s="52"/>
      <c r="AB111" s="52"/>
      <c r="AC111" s="52"/>
      <c r="AD111" s="52"/>
      <c r="AE111" s="52"/>
    </row>
    <row r="112" spans="1:31">
      <c r="A112" s="726"/>
      <c r="B112" s="617" t="s">
        <v>92</v>
      </c>
      <c r="C112" s="720"/>
      <c r="D112" s="550">
        <v>3.3457608502362226E-4</v>
      </c>
      <c r="E112" s="550">
        <f t="shared" ref="E112:Q112" si="21">E111/E9</f>
        <v>1.8807280830262171E-4</v>
      </c>
      <c r="F112" s="607">
        <f t="shared" si="21"/>
        <v>0</v>
      </c>
      <c r="G112" s="607">
        <f t="shared" si="21"/>
        <v>0</v>
      </c>
      <c r="H112" s="607">
        <f t="shared" si="21"/>
        <v>0</v>
      </c>
      <c r="I112" s="607">
        <f t="shared" si="21"/>
        <v>0</v>
      </c>
      <c r="J112" s="607">
        <f t="shared" si="21"/>
        <v>0</v>
      </c>
      <c r="K112" s="607">
        <f t="shared" si="21"/>
        <v>0</v>
      </c>
      <c r="L112" s="607">
        <f t="shared" si="21"/>
        <v>0</v>
      </c>
      <c r="M112" s="607">
        <f t="shared" si="21"/>
        <v>0</v>
      </c>
      <c r="N112" s="607">
        <f t="shared" si="21"/>
        <v>0</v>
      </c>
      <c r="O112" s="607">
        <f t="shared" si="21"/>
        <v>0</v>
      </c>
      <c r="P112" s="607">
        <f t="shared" si="21"/>
        <v>0</v>
      </c>
      <c r="Q112" s="608">
        <f t="shared" si="21"/>
        <v>0</v>
      </c>
      <c r="T112" s="54"/>
      <c r="U112" s="54"/>
      <c r="V112" s="54"/>
      <c r="W112" s="54"/>
      <c r="X112" s="54"/>
      <c r="Y112" s="54"/>
      <c r="Z112" s="54"/>
      <c r="AA112" s="54"/>
      <c r="AB112" s="54"/>
      <c r="AC112" s="54"/>
      <c r="AD112" s="54"/>
      <c r="AE112" s="54"/>
    </row>
    <row r="113" spans="1:31" ht="15">
      <c r="A113" s="725" t="s">
        <v>165</v>
      </c>
      <c r="B113" s="628" t="s">
        <v>239</v>
      </c>
      <c r="C113" s="636"/>
      <c r="D113" s="227">
        <v>14279.194083009001</v>
      </c>
      <c r="E113" s="227">
        <f>(17177.052082804*1000)/1000</f>
        <v>17177.052082803999</v>
      </c>
      <c r="F113" s="228"/>
      <c r="G113" s="228"/>
      <c r="H113" s="228"/>
      <c r="I113" s="228"/>
      <c r="J113" s="228"/>
      <c r="K113" s="228"/>
      <c r="L113" s="228"/>
      <c r="M113" s="228"/>
      <c r="N113" s="228"/>
      <c r="O113" s="228"/>
      <c r="P113" s="228"/>
      <c r="Q113" s="229"/>
      <c r="T113" s="52"/>
      <c r="U113" s="52"/>
      <c r="V113" s="52"/>
      <c r="W113" s="52"/>
      <c r="X113" s="52"/>
      <c r="Y113" s="52"/>
      <c r="Z113" s="52"/>
      <c r="AA113" s="52"/>
      <c r="AB113" s="52"/>
      <c r="AC113" s="52"/>
      <c r="AD113" s="52"/>
      <c r="AE113" s="52"/>
    </row>
    <row r="114" spans="1:31">
      <c r="A114" s="726"/>
      <c r="B114" s="617" t="s">
        <v>92</v>
      </c>
      <c r="C114" s="634"/>
      <c r="D114" s="550">
        <v>1.1973303462399337E-2</v>
      </c>
      <c r="E114" s="550">
        <f t="shared" ref="E114:Q114" si="22">E113/E9</f>
        <v>1.1744812673320556E-2</v>
      </c>
      <c r="F114" s="609">
        <f t="shared" si="22"/>
        <v>0</v>
      </c>
      <c r="G114" s="609">
        <f t="shared" si="22"/>
        <v>0</v>
      </c>
      <c r="H114" s="609">
        <f t="shared" si="22"/>
        <v>0</v>
      </c>
      <c r="I114" s="609">
        <f t="shared" si="22"/>
        <v>0</v>
      </c>
      <c r="J114" s="609">
        <f t="shared" si="22"/>
        <v>0</v>
      </c>
      <c r="K114" s="609">
        <f t="shared" si="22"/>
        <v>0</v>
      </c>
      <c r="L114" s="609">
        <f t="shared" si="22"/>
        <v>0</v>
      </c>
      <c r="M114" s="609">
        <f t="shared" si="22"/>
        <v>0</v>
      </c>
      <c r="N114" s="609">
        <f t="shared" si="22"/>
        <v>0</v>
      </c>
      <c r="O114" s="609">
        <f t="shared" si="22"/>
        <v>0</v>
      </c>
      <c r="P114" s="609">
        <f t="shared" si="22"/>
        <v>0</v>
      </c>
      <c r="Q114" s="610">
        <f t="shared" si="22"/>
        <v>0</v>
      </c>
      <c r="T114" s="54"/>
      <c r="U114" s="54"/>
      <c r="V114" s="54"/>
      <c r="W114" s="54"/>
      <c r="X114" s="54"/>
      <c r="Y114" s="54"/>
      <c r="Z114" s="54"/>
      <c r="AA114" s="54"/>
      <c r="AB114" s="54"/>
      <c r="AC114" s="54"/>
      <c r="AD114" s="54"/>
      <c r="AE114" s="54"/>
    </row>
    <row r="115" spans="1:31" ht="15">
      <c r="A115" s="725" t="s">
        <v>151</v>
      </c>
      <c r="B115" s="628" t="s">
        <v>240</v>
      </c>
      <c r="C115" s="719" t="s">
        <v>400</v>
      </c>
      <c r="D115" s="227">
        <v>27665.357199583286</v>
      </c>
      <c r="E115" s="227">
        <f>(34120.9244997838*1000)/1000</f>
        <v>34120.924499783803</v>
      </c>
      <c r="F115" s="228"/>
      <c r="G115" s="228"/>
      <c r="H115" s="228"/>
      <c r="I115" s="228"/>
      <c r="J115" s="228"/>
      <c r="K115" s="228"/>
      <c r="L115" s="228"/>
      <c r="M115" s="228"/>
      <c r="N115" s="228"/>
      <c r="O115" s="228"/>
      <c r="P115" s="228"/>
      <c r="Q115" s="229"/>
      <c r="T115" s="52"/>
      <c r="U115" s="52"/>
      <c r="V115" s="52"/>
      <c r="W115" s="52"/>
      <c r="X115" s="52"/>
      <c r="Y115" s="52"/>
      <c r="Z115" s="52"/>
      <c r="AA115" s="52"/>
      <c r="AB115" s="52"/>
      <c r="AC115" s="52"/>
      <c r="AD115" s="52"/>
      <c r="AE115" s="52"/>
    </row>
    <row r="116" spans="1:31">
      <c r="A116" s="727"/>
      <c r="B116" s="622" t="s">
        <v>241</v>
      </c>
      <c r="C116" s="721"/>
      <c r="D116" s="561">
        <v>7177.4483779474758</v>
      </c>
      <c r="E116" s="561">
        <f>(12626.5968370994*1000)/1000</f>
        <v>12626.5968370994</v>
      </c>
      <c r="F116" s="230"/>
      <c r="G116" s="230"/>
      <c r="H116" s="230"/>
      <c r="I116" s="230"/>
      <c r="J116" s="230"/>
      <c r="K116" s="230"/>
      <c r="L116" s="230"/>
      <c r="M116" s="230"/>
      <c r="N116" s="230"/>
      <c r="O116" s="230"/>
      <c r="P116" s="230"/>
      <c r="Q116" s="231"/>
      <c r="T116" s="52"/>
      <c r="U116" s="52"/>
      <c r="V116" s="52"/>
      <c r="W116" s="52"/>
      <c r="X116" s="52"/>
      <c r="Y116" s="52"/>
      <c r="Z116" s="52"/>
      <c r="AA116" s="52"/>
      <c r="AB116" s="52"/>
      <c r="AC116" s="52"/>
      <c r="AD116" s="52"/>
      <c r="AE116" s="52"/>
    </row>
    <row r="117" spans="1:31" ht="15">
      <c r="A117" s="727"/>
      <c r="B117" s="629" t="s">
        <v>237</v>
      </c>
      <c r="C117" s="721"/>
      <c r="D117" s="570">
        <v>2.3197787999845072E-2</v>
      </c>
      <c r="E117" s="570">
        <f t="shared" ref="E117:Q117" si="23">E115/E$9</f>
        <v>2.3330188705177217E-2</v>
      </c>
      <c r="F117" s="611">
        <f t="shared" si="23"/>
        <v>0</v>
      </c>
      <c r="G117" s="611">
        <f t="shared" si="23"/>
        <v>0</v>
      </c>
      <c r="H117" s="611">
        <f t="shared" si="23"/>
        <v>0</v>
      </c>
      <c r="I117" s="611">
        <f t="shared" si="23"/>
        <v>0</v>
      </c>
      <c r="J117" s="611">
        <f t="shared" si="23"/>
        <v>0</v>
      </c>
      <c r="K117" s="611">
        <f t="shared" si="23"/>
        <v>0</v>
      </c>
      <c r="L117" s="611">
        <f>L115/L$9</f>
        <v>0</v>
      </c>
      <c r="M117" s="611">
        <f t="shared" si="23"/>
        <v>0</v>
      </c>
      <c r="N117" s="611">
        <f t="shared" si="23"/>
        <v>0</v>
      </c>
      <c r="O117" s="611">
        <f t="shared" si="23"/>
        <v>0</v>
      </c>
      <c r="P117" s="611">
        <f t="shared" si="23"/>
        <v>0</v>
      </c>
      <c r="Q117" s="612">
        <f t="shared" si="23"/>
        <v>0</v>
      </c>
      <c r="T117" s="54"/>
      <c r="U117" s="54"/>
      <c r="V117" s="54"/>
      <c r="W117" s="54"/>
      <c r="X117" s="54"/>
      <c r="Y117" s="54"/>
      <c r="Z117" s="54"/>
      <c r="AA117" s="54"/>
      <c r="AB117" s="54"/>
      <c r="AC117" s="54"/>
      <c r="AD117" s="54"/>
      <c r="AE117" s="54"/>
    </row>
    <row r="118" spans="1:31">
      <c r="A118" s="726"/>
      <c r="B118" s="617" t="s">
        <v>238</v>
      </c>
      <c r="C118" s="720"/>
      <c r="D118" s="550">
        <v>6.0183906049102228E-3</v>
      </c>
      <c r="E118" s="550">
        <f t="shared" ref="E118:Q118" si="24">E116/E$9</f>
        <v>8.6334380217508271E-3</v>
      </c>
      <c r="F118" s="607">
        <f t="shared" si="24"/>
        <v>0</v>
      </c>
      <c r="G118" s="607">
        <f t="shared" si="24"/>
        <v>0</v>
      </c>
      <c r="H118" s="607">
        <f t="shared" si="24"/>
        <v>0</v>
      </c>
      <c r="I118" s="607">
        <f t="shared" si="24"/>
        <v>0</v>
      </c>
      <c r="J118" s="607">
        <f t="shared" si="24"/>
        <v>0</v>
      </c>
      <c r="K118" s="607">
        <f t="shared" si="24"/>
        <v>0</v>
      </c>
      <c r="L118" s="607">
        <f t="shared" si="24"/>
        <v>0</v>
      </c>
      <c r="M118" s="607">
        <f t="shared" si="24"/>
        <v>0</v>
      </c>
      <c r="N118" s="607">
        <f t="shared" si="24"/>
        <v>0</v>
      </c>
      <c r="O118" s="607">
        <f t="shared" si="24"/>
        <v>0</v>
      </c>
      <c r="P118" s="607">
        <f t="shared" si="24"/>
        <v>0</v>
      </c>
      <c r="Q118" s="608">
        <f t="shared" si="24"/>
        <v>0</v>
      </c>
      <c r="T118" s="54"/>
      <c r="U118" s="54"/>
      <c r="V118" s="54"/>
      <c r="W118" s="54"/>
      <c r="X118" s="54"/>
      <c r="Y118" s="54"/>
      <c r="Z118" s="54"/>
      <c r="AA118" s="54"/>
      <c r="AB118" s="54"/>
      <c r="AC118" s="54"/>
      <c r="AD118" s="54"/>
      <c r="AE118" s="54"/>
    </row>
    <row r="119" spans="1:31" ht="22" customHeight="1">
      <c r="A119" s="725" t="s">
        <v>212</v>
      </c>
      <c r="B119" s="628" t="s">
        <v>103</v>
      </c>
      <c r="C119" s="719" t="s">
        <v>401</v>
      </c>
      <c r="D119" s="227">
        <v>12054.465417425201</v>
      </c>
      <c r="E119" s="227">
        <f>(1254.77367359676*1000)/1000</f>
        <v>1254.7736735967601</v>
      </c>
      <c r="F119" s="228"/>
      <c r="G119" s="228"/>
      <c r="H119" s="228"/>
      <c r="I119" s="228"/>
      <c r="J119" s="228"/>
      <c r="K119" s="228"/>
      <c r="L119" s="228"/>
      <c r="M119" s="228"/>
      <c r="N119" s="228"/>
      <c r="O119" s="228"/>
      <c r="P119" s="228"/>
      <c r="Q119" s="229"/>
      <c r="T119" s="52"/>
      <c r="U119" s="52"/>
      <c r="V119" s="52"/>
      <c r="W119" s="52"/>
      <c r="X119" s="52"/>
      <c r="Y119" s="52"/>
      <c r="Z119" s="52"/>
      <c r="AA119" s="52"/>
      <c r="AB119" s="52"/>
      <c r="AC119" s="52"/>
      <c r="AD119" s="52"/>
      <c r="AE119" s="52"/>
    </row>
    <row r="120" spans="1:31" ht="22" customHeight="1">
      <c r="A120" s="726"/>
      <c r="B120" s="617" t="s">
        <v>92</v>
      </c>
      <c r="C120" s="720"/>
      <c r="D120" s="550">
        <v>1.0107837436818123E-2</v>
      </c>
      <c r="E120" s="550">
        <f t="shared" ref="E120:Q120" si="25">E119/E$9</f>
        <v>8.57951741239788E-4</v>
      </c>
      <c r="F120" s="609">
        <f t="shared" si="25"/>
        <v>0</v>
      </c>
      <c r="G120" s="609">
        <f t="shared" si="25"/>
        <v>0</v>
      </c>
      <c r="H120" s="609">
        <f t="shared" si="25"/>
        <v>0</v>
      </c>
      <c r="I120" s="609">
        <f t="shared" si="25"/>
        <v>0</v>
      </c>
      <c r="J120" s="609">
        <f t="shared" si="25"/>
        <v>0</v>
      </c>
      <c r="K120" s="609">
        <f t="shared" si="25"/>
        <v>0</v>
      </c>
      <c r="L120" s="609">
        <f t="shared" si="25"/>
        <v>0</v>
      </c>
      <c r="M120" s="609">
        <f t="shared" si="25"/>
        <v>0</v>
      </c>
      <c r="N120" s="609">
        <f t="shared" si="25"/>
        <v>0</v>
      </c>
      <c r="O120" s="609">
        <f t="shared" si="25"/>
        <v>0</v>
      </c>
      <c r="P120" s="609">
        <f t="shared" si="25"/>
        <v>0</v>
      </c>
      <c r="Q120" s="610">
        <f t="shared" si="25"/>
        <v>0</v>
      </c>
      <c r="T120" s="54"/>
      <c r="U120" s="54"/>
      <c r="V120" s="54"/>
      <c r="W120" s="54"/>
      <c r="X120" s="54"/>
      <c r="Y120" s="54"/>
      <c r="Z120" s="54"/>
      <c r="AA120" s="54"/>
      <c r="AB120" s="54"/>
      <c r="AC120" s="54"/>
      <c r="AD120" s="54"/>
      <c r="AE120" s="54"/>
    </row>
    <row r="121" spans="1:31">
      <c r="B121" s="509"/>
      <c r="C121" s="637"/>
      <c r="I121" s="74"/>
    </row>
  </sheetData>
  <mergeCells count="40">
    <mergeCell ref="A105:A106"/>
    <mergeCell ref="A119:A120"/>
    <mergeCell ref="A22:A24"/>
    <mergeCell ref="A25:A29"/>
    <mergeCell ref="A46:A50"/>
    <mergeCell ref="A87:A90"/>
    <mergeCell ref="A115:A118"/>
    <mergeCell ref="A30:A45"/>
    <mergeCell ref="A51:A66"/>
    <mergeCell ref="A70:A74"/>
    <mergeCell ref="A113:A114"/>
    <mergeCell ref="A75:A86"/>
    <mergeCell ref="A107:A108"/>
    <mergeCell ref="A91:A102"/>
    <mergeCell ref="A109:A110"/>
    <mergeCell ref="A111:A112"/>
    <mergeCell ref="C9:C10"/>
    <mergeCell ref="C11:C12"/>
    <mergeCell ref="A103:A104"/>
    <mergeCell ref="A9:A10"/>
    <mergeCell ref="A11:A12"/>
    <mergeCell ref="A15:A18"/>
    <mergeCell ref="A19:A21"/>
    <mergeCell ref="A67:A69"/>
    <mergeCell ref="C19:C21"/>
    <mergeCell ref="C22:C24"/>
    <mergeCell ref="C25:C29"/>
    <mergeCell ref="C30:C45"/>
    <mergeCell ref="C46:C50"/>
    <mergeCell ref="C51:C66"/>
    <mergeCell ref="C67:C69"/>
    <mergeCell ref="C75:C86"/>
    <mergeCell ref="C111:C112"/>
    <mergeCell ref="C115:C118"/>
    <mergeCell ref="C119:C120"/>
    <mergeCell ref="C70:C74"/>
    <mergeCell ref="C87:C90"/>
    <mergeCell ref="C91:C102"/>
    <mergeCell ref="C107:C108"/>
    <mergeCell ref="C109:C110"/>
  </mergeCells>
  <hyperlinks>
    <hyperlink ref="K1" location="'Cumplimiento de la regla'!A1" display="Cumplimiento de la regla" xr:uid="{C8FF23DA-2CEA-9445-B430-17AF275C52BB}"/>
    <hyperlink ref="G1" location="Introducción!A1" display="Introducción" xr:uid="{2206A863-ABBB-F340-B237-B55779EC2D83}"/>
    <hyperlink ref="J1" location="Gráficos!A1" display="Gráficos" xr:uid="{A9B0581C-9C6B-CF45-BE3B-F2A748A33764}"/>
    <hyperlink ref="I1" location="SALIDA!A1" display="SALIDA" xr:uid="{4990B6D1-A96C-624B-B88A-E2A9952BF70A}"/>
    <hyperlink ref="H1" location="Supuestos!A1" display="Supuestos" xr:uid="{B0C7BB16-6ADA-5247-9EEE-77AEAA0C4951}"/>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DD297-4C94-3D42-973A-62FB902CD0E4}">
  <sheetPr codeName="Sheet3">
    <tabColor rgb="FFD4D3D2"/>
  </sheetPr>
  <dimension ref="A1:AJ51"/>
  <sheetViews>
    <sheetView zoomScale="90" zoomScaleNormal="90" workbookViewId="0">
      <pane xSplit="1" ySplit="5" topLeftCell="B6" activePane="bottomRight" state="frozen"/>
      <selection activeCell="C26" sqref="C26"/>
      <selection pane="topRight" activeCell="C26" sqref="C26"/>
      <selection pane="bottomLeft" activeCell="C26" sqref="C26"/>
      <selection pane="bottomRight" activeCell="B38" sqref="B38"/>
    </sheetView>
  </sheetViews>
  <sheetFormatPr baseColWidth="10" defaultColWidth="10.83203125" defaultRowHeight="15"/>
  <cols>
    <col min="1" max="1" width="55" style="5" customWidth="1"/>
    <col min="2" max="3" width="9.6640625" style="5" customWidth="1"/>
    <col min="4" max="4" width="10.6640625" style="5" customWidth="1"/>
    <col min="5" max="13" width="9.6640625" style="5" customWidth="1"/>
    <col min="14" max="16384" width="10.83203125" style="5"/>
  </cols>
  <sheetData>
    <row r="1" spans="1:36" ht="28" customHeight="1">
      <c r="A1" s="512" t="s">
        <v>288</v>
      </c>
      <c r="C1" s="510" t="s">
        <v>319</v>
      </c>
      <c r="D1" s="543" t="s">
        <v>315</v>
      </c>
      <c r="E1" s="543" t="s">
        <v>285</v>
      </c>
      <c r="F1" s="543" t="s">
        <v>317</v>
      </c>
      <c r="G1" s="543" t="s">
        <v>318</v>
      </c>
      <c r="H1" s="728" t="s">
        <v>320</v>
      </c>
      <c r="I1" s="729"/>
    </row>
    <row r="2" spans="1:36">
      <c r="A2" s="430"/>
    </row>
    <row r="3" spans="1:36" ht="16">
      <c r="A3" s="39"/>
      <c r="B3" s="4"/>
      <c r="C3" s="10"/>
      <c r="D3" s="10"/>
      <c r="E3" s="10"/>
      <c r="F3" s="10"/>
      <c r="G3" s="10"/>
      <c r="H3" s="10"/>
      <c r="I3" s="10"/>
      <c r="J3" s="10"/>
      <c r="K3" s="10"/>
      <c r="L3" s="10"/>
      <c r="M3" s="10"/>
    </row>
    <row r="5" spans="1:36">
      <c r="A5" s="252" t="s">
        <v>26</v>
      </c>
      <c r="B5" s="253">
        <v>45291</v>
      </c>
      <c r="C5" s="253">
        <v>45657</v>
      </c>
      <c r="D5" s="253">
        <v>46022</v>
      </c>
      <c r="E5" s="253">
        <v>46387</v>
      </c>
      <c r="F5" s="253">
        <v>46752</v>
      </c>
      <c r="G5" s="253">
        <v>47118</v>
      </c>
      <c r="H5" s="253">
        <v>47483</v>
      </c>
      <c r="I5" s="253">
        <v>47848</v>
      </c>
      <c r="J5" s="253">
        <v>48213</v>
      </c>
      <c r="K5" s="253">
        <v>48579</v>
      </c>
      <c r="L5" s="253">
        <v>48944</v>
      </c>
      <c r="M5" s="254">
        <v>48945</v>
      </c>
    </row>
    <row r="6" spans="1:36" s="10" customFormat="1">
      <c r="A6" s="255" t="s">
        <v>106</v>
      </c>
      <c r="B6" s="43">
        <f>-Supuestos!F107</f>
        <v>0</v>
      </c>
      <c r="C6" s="43">
        <f>-Supuestos!G107</f>
        <v>0</v>
      </c>
      <c r="D6" s="43">
        <f>-Supuestos!H107</f>
        <v>0</v>
      </c>
      <c r="E6" s="43">
        <f>-Supuestos!I107</f>
        <v>0</v>
      </c>
      <c r="F6" s="43">
        <f>-Supuestos!J107</f>
        <v>0</v>
      </c>
      <c r="G6" s="43">
        <f>-Supuestos!K107</f>
        <v>0</v>
      </c>
      <c r="H6" s="43">
        <f>-Supuestos!L107</f>
        <v>0</v>
      </c>
      <c r="I6" s="43">
        <f>-Supuestos!M107</f>
        <v>0</v>
      </c>
      <c r="J6" s="43">
        <f>-Supuestos!N107</f>
        <v>0</v>
      </c>
      <c r="K6" s="43">
        <f>-Supuestos!O107</f>
        <v>0</v>
      </c>
      <c r="L6" s="43">
        <f>-Supuestos!P107</f>
        <v>0</v>
      </c>
      <c r="M6" s="256">
        <f>-Supuestos!Q107</f>
        <v>0</v>
      </c>
    </row>
    <row r="7" spans="1:36" s="10" customFormat="1">
      <c r="A7" s="257" t="s">
        <v>28</v>
      </c>
      <c r="B7" s="258">
        <f t="shared" ref="B7:M7" si="0">SUM(B8,B11,B14)</f>
        <v>0</v>
      </c>
      <c r="C7" s="258" t="e">
        <f>SUM(C8,C11,C14)</f>
        <v>#DIV/0!</v>
      </c>
      <c r="D7" s="258" t="e">
        <f t="shared" si="0"/>
        <v>#DIV/0!</v>
      </c>
      <c r="E7" s="258" t="e">
        <f t="shared" si="0"/>
        <v>#DIV/0!</v>
      </c>
      <c r="F7" s="258" t="e">
        <f t="shared" si="0"/>
        <v>#DIV/0!</v>
      </c>
      <c r="G7" s="258" t="e">
        <f t="shared" si="0"/>
        <v>#DIV/0!</v>
      </c>
      <c r="H7" s="258" t="e">
        <f t="shared" si="0"/>
        <v>#DIV/0!</v>
      </c>
      <c r="I7" s="258" t="e">
        <f t="shared" si="0"/>
        <v>#DIV/0!</v>
      </c>
      <c r="J7" s="258" t="e">
        <f t="shared" si="0"/>
        <v>#DIV/0!</v>
      </c>
      <c r="K7" s="258" t="e">
        <f t="shared" si="0"/>
        <v>#DIV/0!</v>
      </c>
      <c r="L7" s="258" t="e">
        <f t="shared" si="0"/>
        <v>#DIV/0!</v>
      </c>
      <c r="M7" s="259" t="e">
        <f t="shared" si="0"/>
        <v>#DIV/0!</v>
      </c>
    </row>
    <row r="8" spans="1:36" s="10" customFormat="1">
      <c r="A8" s="260" t="s">
        <v>29</v>
      </c>
      <c r="B8" s="261">
        <f t="shared" ref="B8:L8" si="1">SUM(B9:B10)</f>
        <v>0</v>
      </c>
      <c r="C8" s="261" t="e">
        <f>SUM(C9:C10)</f>
        <v>#DIV/0!</v>
      </c>
      <c r="D8" s="261" t="e">
        <f t="shared" si="1"/>
        <v>#DIV/0!</v>
      </c>
      <c r="E8" s="261" t="e">
        <f t="shared" si="1"/>
        <v>#DIV/0!</v>
      </c>
      <c r="F8" s="261" t="e">
        <f t="shared" si="1"/>
        <v>#DIV/0!</v>
      </c>
      <c r="G8" s="261" t="e">
        <f t="shared" si="1"/>
        <v>#DIV/0!</v>
      </c>
      <c r="H8" s="261" t="e">
        <f t="shared" si="1"/>
        <v>#DIV/0!</v>
      </c>
      <c r="I8" s="261" t="e">
        <f t="shared" si="1"/>
        <v>#DIV/0!</v>
      </c>
      <c r="J8" s="261" t="e">
        <f t="shared" si="1"/>
        <v>#DIV/0!</v>
      </c>
      <c r="K8" s="261" t="e">
        <f t="shared" si="1"/>
        <v>#DIV/0!</v>
      </c>
      <c r="L8" s="261" t="e">
        <f t="shared" si="1"/>
        <v>#DIV/0!</v>
      </c>
      <c r="M8" s="262" t="e">
        <f t="shared" ref="M8" si="2">SUM(M9:M10)</f>
        <v>#DIV/0!</v>
      </c>
    </row>
    <row r="9" spans="1:36" s="10" customFormat="1">
      <c r="A9" s="263" t="s">
        <v>30</v>
      </c>
      <c r="B9" s="44">
        <f>+'F&amp;U'!E14*Supuestos!F17/1000</f>
        <v>0</v>
      </c>
      <c r="C9" s="44">
        <f>+'F&amp;U'!E33*Supuestos!F17/1000</f>
        <v>0</v>
      </c>
      <c r="D9" s="44">
        <f>'Perfil de vencimientos'!E26*Supuestos!H17/1000</f>
        <v>0</v>
      </c>
      <c r="E9" s="44">
        <f>'Perfil de vencimientos'!F26*Supuestos!I17/1000</f>
        <v>0</v>
      </c>
      <c r="F9" s="44">
        <f>'Perfil de vencimientos'!G26*Supuestos!J17/1000</f>
        <v>0</v>
      </c>
      <c r="G9" s="44">
        <f>'Perfil de vencimientos'!H26*Supuestos!K17/1000</f>
        <v>0</v>
      </c>
      <c r="H9" s="44">
        <f>'Perfil de vencimientos'!I26*Supuestos!L17/1000</f>
        <v>0</v>
      </c>
      <c r="I9" s="44">
        <f>'Perfil de vencimientos'!J26*Supuestos!M17/1000</f>
        <v>0</v>
      </c>
      <c r="J9" s="44">
        <f>'Perfil de vencimientos'!K26*Supuestos!N17/1000</f>
        <v>0</v>
      </c>
      <c r="K9" s="44">
        <f>'Perfil de vencimientos'!L26*Supuestos!O17/1000</f>
        <v>0</v>
      </c>
      <c r="L9" s="44">
        <f>'Perfil de vencimientos'!M26*Supuestos!P17/1000</f>
        <v>0</v>
      </c>
      <c r="M9" s="264">
        <f>'Perfil de vencimientos'!N26*Supuestos!Q17/1000</f>
        <v>0</v>
      </c>
    </row>
    <row r="10" spans="1:36" s="10" customFormat="1">
      <c r="A10" s="263" t="s">
        <v>160</v>
      </c>
      <c r="B10" s="44">
        <f>'Emisiones USD Bonos'!D11+'Emisiones USD Multil'!D11</f>
        <v>0</v>
      </c>
      <c r="C10" s="44" t="e">
        <f>'Emisiones USD Bonos'!E11+'Emisiones USD Multil'!E11</f>
        <v>#DIV/0!</v>
      </c>
      <c r="D10" s="44" t="e">
        <f>'Emisiones USD Bonos'!F11+'Emisiones USD Multil'!F11</f>
        <v>#DIV/0!</v>
      </c>
      <c r="E10" s="44" t="e">
        <f>'Emisiones USD Bonos'!G11+'Emisiones USD Multil'!G11</f>
        <v>#DIV/0!</v>
      </c>
      <c r="F10" s="44" t="e">
        <f>'Emisiones USD Bonos'!H11+'Emisiones USD Multil'!H11</f>
        <v>#DIV/0!</v>
      </c>
      <c r="G10" s="44" t="e">
        <f>'Emisiones USD Bonos'!I11+'Emisiones USD Multil'!I11</f>
        <v>#DIV/0!</v>
      </c>
      <c r="H10" s="44" t="e">
        <f>'Emisiones USD Bonos'!J11+'Emisiones USD Multil'!J11</f>
        <v>#DIV/0!</v>
      </c>
      <c r="I10" s="44" t="e">
        <f>'Emisiones USD Bonos'!K11+'Emisiones USD Multil'!K11</f>
        <v>#DIV/0!</v>
      </c>
      <c r="J10" s="44" t="e">
        <f>'Emisiones USD Bonos'!L11+'Emisiones USD Multil'!L11</f>
        <v>#DIV/0!</v>
      </c>
      <c r="K10" s="44" t="e">
        <f>'Emisiones USD Bonos'!M11+'Emisiones USD Multil'!M11</f>
        <v>#DIV/0!</v>
      </c>
      <c r="L10" s="44" t="e">
        <f>'Emisiones USD Bonos'!N11+'Emisiones USD Multil'!N11</f>
        <v>#DIV/0!</v>
      </c>
      <c r="M10" s="264" t="e">
        <f>'Emisiones USD Bonos'!O11+'Emisiones USD Multil'!O11</f>
        <v>#DIV/0!</v>
      </c>
    </row>
    <row r="11" spans="1:36" s="10" customFormat="1">
      <c r="A11" s="260" t="s">
        <v>31</v>
      </c>
      <c r="B11" s="261">
        <f t="shared" ref="B11:L11" si="3">SUM(B12:B13)</f>
        <v>0</v>
      </c>
      <c r="C11" s="261">
        <f>SUM(C12:C13)</f>
        <v>0</v>
      </c>
      <c r="D11" s="261" t="e">
        <f t="shared" si="3"/>
        <v>#DIV/0!</v>
      </c>
      <c r="E11" s="261" t="e">
        <f t="shared" si="3"/>
        <v>#DIV/0!</v>
      </c>
      <c r="F11" s="261" t="e">
        <f t="shared" si="3"/>
        <v>#DIV/0!</v>
      </c>
      <c r="G11" s="261" t="e">
        <f t="shared" si="3"/>
        <v>#DIV/0!</v>
      </c>
      <c r="H11" s="261" t="e">
        <f t="shared" si="3"/>
        <v>#DIV/0!</v>
      </c>
      <c r="I11" s="261" t="e">
        <f t="shared" si="3"/>
        <v>#DIV/0!</v>
      </c>
      <c r="J11" s="261" t="e">
        <f t="shared" si="3"/>
        <v>#DIV/0!</v>
      </c>
      <c r="K11" s="261" t="e">
        <f t="shared" si="3"/>
        <v>#DIV/0!</v>
      </c>
      <c r="L11" s="261" t="e">
        <f t="shared" si="3"/>
        <v>#DIV/0!</v>
      </c>
      <c r="M11" s="262" t="e">
        <f t="shared" ref="M11" si="4">SUM(M12:M13)</f>
        <v>#DIV/0!</v>
      </c>
    </row>
    <row r="12" spans="1:36" s="10" customFormat="1">
      <c r="A12" s="266" t="s">
        <v>30</v>
      </c>
      <c r="B12" s="44">
        <f>'F&amp;U'!I12</f>
        <v>0</v>
      </c>
      <c r="C12" s="44">
        <f>'F&amp;U'!I32</f>
        <v>0</v>
      </c>
      <c r="D12" s="44">
        <f>+'Perfil de vencimientos'!E12/1000</f>
        <v>0</v>
      </c>
      <c r="E12" s="44">
        <f>+'Perfil de vencimientos'!F12/1000</f>
        <v>0</v>
      </c>
      <c r="F12" s="44">
        <f>+'Perfil de vencimientos'!G12/1000</f>
        <v>0</v>
      </c>
      <c r="G12" s="44">
        <f>+'Perfil de vencimientos'!H12/1000</f>
        <v>0</v>
      </c>
      <c r="H12" s="44">
        <f>+'Perfil de vencimientos'!I12/1000</f>
        <v>0</v>
      </c>
      <c r="I12" s="44">
        <f>+'Perfil de vencimientos'!J12/1000</f>
        <v>0</v>
      </c>
      <c r="J12" s="44">
        <f>+'Perfil de vencimientos'!K12/1000</f>
        <v>0</v>
      </c>
      <c r="K12" s="44">
        <f>+'Perfil de vencimientos'!L12/1000</f>
        <v>0</v>
      </c>
      <c r="L12" s="44">
        <f>+'Perfil de vencimientos'!M12/1000</f>
        <v>0</v>
      </c>
      <c r="M12" s="264">
        <f>+'Perfil de vencimientos'!N12/1000</f>
        <v>0</v>
      </c>
    </row>
    <row r="13" spans="1:36" s="10" customFormat="1">
      <c r="A13" s="263" t="s">
        <v>160</v>
      </c>
      <c r="B13" s="44">
        <f>'Emisiones COP'!D6+'Emisiones UVR'!D11</f>
        <v>0</v>
      </c>
      <c r="C13" s="44">
        <f>'Emisiones COP'!E6+'Emisiones UVR'!E11</f>
        <v>0</v>
      </c>
      <c r="D13" s="44" t="e">
        <f>'Emisiones COP'!F6+'Emisiones UVR'!F11</f>
        <v>#DIV/0!</v>
      </c>
      <c r="E13" s="44" t="e">
        <f>'Emisiones COP'!G6+'Emisiones UVR'!G11</f>
        <v>#DIV/0!</v>
      </c>
      <c r="F13" s="44" t="e">
        <f>'Emisiones COP'!H6+'Emisiones UVR'!H11</f>
        <v>#DIV/0!</v>
      </c>
      <c r="G13" s="44" t="e">
        <f>'Emisiones COP'!I6+'Emisiones UVR'!I11</f>
        <v>#DIV/0!</v>
      </c>
      <c r="H13" s="44" t="e">
        <f>'Emisiones COP'!J6+'Emisiones UVR'!J11</f>
        <v>#DIV/0!</v>
      </c>
      <c r="I13" s="44" t="e">
        <f>'Emisiones COP'!K6+'Emisiones UVR'!K11</f>
        <v>#DIV/0!</v>
      </c>
      <c r="J13" s="44" t="e">
        <f>'Emisiones COP'!L6+'Emisiones UVR'!L11</f>
        <v>#DIV/0!</v>
      </c>
      <c r="K13" s="44" t="e">
        <f>'Emisiones COP'!M6+'Emisiones UVR'!M11</f>
        <v>#DIV/0!</v>
      </c>
      <c r="L13" s="44" t="e">
        <f>'Emisiones COP'!N6+'Emisiones UVR'!N11</f>
        <v>#DIV/0!</v>
      </c>
      <c r="M13" s="264" t="e">
        <f>'Emisiones COP'!O6+'Emisiones UVR'!O11</f>
        <v>#DIV/0!</v>
      </c>
    </row>
    <row r="14" spans="1:36" s="9" customFormat="1">
      <c r="A14" s="260" t="s">
        <v>32</v>
      </c>
      <c r="B14" s="261">
        <f t="shared" ref="B14:L14" si="5">SUM(B15:B16)</f>
        <v>0</v>
      </c>
      <c r="C14" s="261">
        <f>SUM(C15:C16)</f>
        <v>0</v>
      </c>
      <c r="D14" s="261" t="e">
        <f t="shared" si="5"/>
        <v>#DIV/0!</v>
      </c>
      <c r="E14" s="261" t="e">
        <f t="shared" si="5"/>
        <v>#DIV/0!</v>
      </c>
      <c r="F14" s="261" t="e">
        <f t="shared" si="5"/>
        <v>#DIV/0!</v>
      </c>
      <c r="G14" s="261" t="e">
        <f t="shared" si="5"/>
        <v>#DIV/0!</v>
      </c>
      <c r="H14" s="261" t="e">
        <f t="shared" si="5"/>
        <v>#DIV/0!</v>
      </c>
      <c r="I14" s="261" t="e">
        <f t="shared" si="5"/>
        <v>#DIV/0!</v>
      </c>
      <c r="J14" s="261" t="e">
        <f t="shared" si="5"/>
        <v>#DIV/0!</v>
      </c>
      <c r="K14" s="261" t="e">
        <f t="shared" si="5"/>
        <v>#DIV/0!</v>
      </c>
      <c r="L14" s="261" t="e">
        <f t="shared" si="5"/>
        <v>#DIV/0!</v>
      </c>
      <c r="M14" s="262" t="e">
        <f t="shared" ref="M14" si="6">SUM(M15:M16)</f>
        <v>#DIV/0!</v>
      </c>
      <c r="N14" s="10"/>
      <c r="O14" s="10"/>
      <c r="P14" s="10"/>
      <c r="Q14" s="10"/>
      <c r="R14" s="10"/>
      <c r="S14" s="10"/>
      <c r="T14" s="10"/>
      <c r="U14" s="10"/>
      <c r="V14" s="10"/>
      <c r="W14" s="10"/>
      <c r="X14" s="10"/>
      <c r="Y14" s="10"/>
      <c r="Z14" s="10"/>
      <c r="AA14" s="10"/>
      <c r="AB14" s="10"/>
      <c r="AC14" s="10"/>
      <c r="AD14" s="10"/>
      <c r="AE14" s="10"/>
      <c r="AF14" s="10"/>
      <c r="AG14" s="10"/>
      <c r="AH14" s="10"/>
      <c r="AI14" s="10"/>
      <c r="AJ14" s="10"/>
    </row>
    <row r="15" spans="1:36" s="10" customFormat="1">
      <c r="A15" s="266" t="s">
        <v>30</v>
      </c>
      <c r="B15" s="10">
        <f>'F&amp;U'!I14</f>
        <v>0</v>
      </c>
      <c r="C15" s="10">
        <f>'F&amp;U'!I34</f>
        <v>0</v>
      </c>
      <c r="D15" s="10" t="e">
        <f>+'TES UVR vigentes'!D29/1000</f>
        <v>#DIV/0!</v>
      </c>
      <c r="E15" s="10" t="e">
        <f>+'TES UVR vigentes'!E29/1000</f>
        <v>#DIV/0!</v>
      </c>
      <c r="F15" s="10" t="e">
        <f>+'TES UVR vigentes'!F29/1000</f>
        <v>#DIV/0!</v>
      </c>
      <c r="G15" s="10" t="e">
        <f>+'TES UVR vigentes'!G29/1000</f>
        <v>#DIV/0!</v>
      </c>
      <c r="H15" s="10" t="e">
        <f>+'TES UVR vigentes'!H29/1000</f>
        <v>#DIV/0!</v>
      </c>
      <c r="I15" s="10" t="e">
        <f>+'TES UVR vigentes'!I29/1000</f>
        <v>#DIV/0!</v>
      </c>
      <c r="J15" s="10" t="e">
        <f>+'TES UVR vigentes'!J29/1000</f>
        <v>#DIV/0!</v>
      </c>
      <c r="K15" s="10" t="e">
        <f>+'TES UVR vigentes'!K29/1000</f>
        <v>#DIV/0!</v>
      </c>
      <c r="L15" s="10" t="e">
        <f>+'TES UVR vigentes'!L29/1000</f>
        <v>#DIV/0!</v>
      </c>
      <c r="M15" s="265" t="e">
        <f>+'TES UVR vigentes'!M29/1000</f>
        <v>#DIV/0!</v>
      </c>
    </row>
    <row r="16" spans="1:36" s="10" customFormat="1">
      <c r="A16" s="263" t="s">
        <v>160</v>
      </c>
      <c r="B16" s="10">
        <f>'Emisiones UVR'!D14</f>
        <v>0</v>
      </c>
      <c r="C16" s="10">
        <f>'Emisiones UVR'!E14</f>
        <v>0</v>
      </c>
      <c r="D16" s="10" t="e">
        <f>'Emisiones UVR'!F14</f>
        <v>#DIV/0!</v>
      </c>
      <c r="E16" s="10" t="e">
        <f>'Emisiones UVR'!G14</f>
        <v>#DIV/0!</v>
      </c>
      <c r="F16" s="10" t="e">
        <f>'Emisiones UVR'!H14</f>
        <v>#DIV/0!</v>
      </c>
      <c r="G16" s="10" t="e">
        <f>'Emisiones UVR'!I14</f>
        <v>#DIV/0!</v>
      </c>
      <c r="H16" s="10" t="e">
        <f>'Emisiones UVR'!J14</f>
        <v>#DIV/0!</v>
      </c>
      <c r="I16" s="10" t="e">
        <f>'Emisiones UVR'!K14</f>
        <v>#DIV/0!</v>
      </c>
      <c r="J16" s="10" t="e">
        <f>'Emisiones UVR'!L14</f>
        <v>#DIV/0!</v>
      </c>
      <c r="K16" s="10" t="e">
        <f>'Emisiones UVR'!M14</f>
        <v>#DIV/0!</v>
      </c>
      <c r="L16" s="10" t="e">
        <f>'Emisiones UVR'!N14</f>
        <v>#DIV/0!</v>
      </c>
      <c r="M16" s="265" t="e">
        <f>'Emisiones UVR'!O14</f>
        <v>#DIV/0!</v>
      </c>
    </row>
    <row r="17" spans="1:36" s="10" customFormat="1">
      <c r="A17" s="267" t="s">
        <v>33</v>
      </c>
      <c r="B17" s="268">
        <f>B7+B6</f>
        <v>0</v>
      </c>
      <c r="C17" s="268" t="e">
        <f>C7+C6</f>
        <v>#DIV/0!</v>
      </c>
      <c r="D17" s="268" t="e">
        <f t="shared" ref="D17:M17" si="7">D7+D6</f>
        <v>#DIV/0!</v>
      </c>
      <c r="E17" s="268" t="e">
        <f t="shared" si="7"/>
        <v>#DIV/0!</v>
      </c>
      <c r="F17" s="268" t="e">
        <f t="shared" si="7"/>
        <v>#DIV/0!</v>
      </c>
      <c r="G17" s="268" t="e">
        <f t="shared" si="7"/>
        <v>#DIV/0!</v>
      </c>
      <c r="H17" s="268" t="e">
        <f t="shared" si="7"/>
        <v>#DIV/0!</v>
      </c>
      <c r="I17" s="268" t="e">
        <f t="shared" si="7"/>
        <v>#DIV/0!</v>
      </c>
      <c r="J17" s="268" t="e">
        <f t="shared" si="7"/>
        <v>#DIV/0!</v>
      </c>
      <c r="K17" s="268" t="e">
        <f t="shared" si="7"/>
        <v>#DIV/0!</v>
      </c>
      <c r="L17" s="268" t="e">
        <f t="shared" si="7"/>
        <v>#DIV/0!</v>
      </c>
      <c r="M17" s="269" t="e">
        <f t="shared" si="7"/>
        <v>#DIV/0!</v>
      </c>
    </row>
    <row r="18" spans="1:36" s="47" customFormat="1">
      <c r="A18" s="46"/>
      <c r="N18" s="10"/>
      <c r="O18" s="10"/>
      <c r="P18" s="10"/>
      <c r="Q18" s="10"/>
      <c r="R18" s="10"/>
      <c r="S18" s="10"/>
      <c r="T18" s="10"/>
      <c r="U18" s="10"/>
      <c r="V18" s="10"/>
      <c r="W18" s="10"/>
      <c r="X18" s="10"/>
      <c r="Y18" s="10"/>
      <c r="Z18" s="10"/>
      <c r="AA18" s="10"/>
      <c r="AB18" s="10"/>
      <c r="AC18" s="10"/>
      <c r="AD18" s="10"/>
      <c r="AE18" s="10"/>
      <c r="AF18" s="10"/>
      <c r="AG18" s="10"/>
      <c r="AH18" s="10"/>
      <c r="AI18" s="10"/>
      <c r="AJ18" s="10"/>
    </row>
    <row r="19" spans="1:36" s="10" customFormat="1">
      <c r="A19" s="270" t="s">
        <v>34</v>
      </c>
      <c r="B19" s="271">
        <f>B17-B14</f>
        <v>0</v>
      </c>
      <c r="C19" s="271" t="e">
        <f>C17-C14</f>
        <v>#DIV/0!</v>
      </c>
      <c r="D19" s="271" t="e">
        <f t="shared" ref="D19:M19" si="8">D17-D14</f>
        <v>#DIV/0!</v>
      </c>
      <c r="E19" s="271" t="e">
        <f t="shared" si="8"/>
        <v>#DIV/0!</v>
      </c>
      <c r="F19" s="271" t="e">
        <f t="shared" si="8"/>
        <v>#DIV/0!</v>
      </c>
      <c r="G19" s="271" t="e">
        <f t="shared" si="8"/>
        <v>#DIV/0!</v>
      </c>
      <c r="H19" s="271" t="e">
        <f t="shared" si="8"/>
        <v>#DIV/0!</v>
      </c>
      <c r="I19" s="271" t="e">
        <f t="shared" si="8"/>
        <v>#DIV/0!</v>
      </c>
      <c r="J19" s="271" t="e">
        <f t="shared" si="8"/>
        <v>#DIV/0!</v>
      </c>
      <c r="K19" s="271" t="e">
        <f t="shared" si="8"/>
        <v>#DIV/0!</v>
      </c>
      <c r="L19" s="271" t="e">
        <f t="shared" si="8"/>
        <v>#DIV/0!</v>
      </c>
      <c r="M19" s="272" t="e">
        <f t="shared" si="8"/>
        <v>#DIV/0!</v>
      </c>
    </row>
    <row r="20" spans="1:36" s="9" customFormat="1">
      <c r="A20" s="260" t="s">
        <v>35</v>
      </c>
      <c r="B20" s="261">
        <f t="shared" ref="B20:L20" si="9">SUM(B21:B22)</f>
        <v>0</v>
      </c>
      <c r="C20" s="261" t="e">
        <f t="shared" si="9"/>
        <v>#DIV/0!</v>
      </c>
      <c r="D20" s="261" t="e">
        <f t="shared" si="9"/>
        <v>#DIV/0!</v>
      </c>
      <c r="E20" s="261" t="e">
        <f t="shared" si="9"/>
        <v>#DIV/0!</v>
      </c>
      <c r="F20" s="261" t="e">
        <f t="shared" si="9"/>
        <v>#DIV/0!</v>
      </c>
      <c r="G20" s="261" t="e">
        <f t="shared" si="9"/>
        <v>#DIV/0!</v>
      </c>
      <c r="H20" s="261" t="e">
        <f t="shared" si="9"/>
        <v>#DIV/0!</v>
      </c>
      <c r="I20" s="261" t="e">
        <f t="shared" si="9"/>
        <v>#DIV/0!</v>
      </c>
      <c r="J20" s="261" t="e">
        <f t="shared" si="9"/>
        <v>#DIV/0!</v>
      </c>
      <c r="K20" s="261" t="e">
        <f t="shared" si="9"/>
        <v>#DIV/0!</v>
      </c>
      <c r="L20" s="261" t="e">
        <f t="shared" si="9"/>
        <v>#DIV/0!</v>
      </c>
      <c r="M20" s="262" t="e">
        <f t="shared" ref="M20" si="10">SUM(M21:M22)</f>
        <v>#DIV/0!</v>
      </c>
      <c r="N20" s="10"/>
      <c r="O20" s="10"/>
      <c r="P20" s="10"/>
      <c r="Q20" s="10"/>
      <c r="R20" s="10"/>
      <c r="S20" s="10"/>
      <c r="T20" s="10"/>
      <c r="U20" s="10"/>
      <c r="V20" s="10"/>
      <c r="W20" s="10"/>
      <c r="X20" s="10"/>
      <c r="Y20" s="10"/>
      <c r="Z20" s="10"/>
      <c r="AA20" s="10"/>
      <c r="AB20" s="10"/>
      <c r="AC20" s="10"/>
      <c r="AD20" s="10"/>
      <c r="AE20" s="10"/>
      <c r="AF20" s="10"/>
      <c r="AG20" s="10"/>
      <c r="AH20" s="10"/>
      <c r="AI20" s="10"/>
      <c r="AJ20" s="10"/>
    </row>
    <row r="21" spans="1:36" s="10" customFormat="1">
      <c r="A21" s="266" t="s">
        <v>36</v>
      </c>
      <c r="B21" s="44">
        <f>B19*Supuestos!F20</f>
        <v>0</v>
      </c>
      <c r="C21" s="44" t="e">
        <f>C19*Supuestos!G20</f>
        <v>#DIV/0!</v>
      </c>
      <c r="D21" s="44" t="e">
        <f>D19*Supuestos!H20</f>
        <v>#DIV/0!</v>
      </c>
      <c r="E21" s="44" t="e">
        <f>E19*Supuestos!I20</f>
        <v>#DIV/0!</v>
      </c>
      <c r="F21" s="44" t="e">
        <f>F19*Supuestos!J20</f>
        <v>#DIV/0!</v>
      </c>
      <c r="G21" s="44" t="e">
        <f>G19*Supuestos!K20</f>
        <v>#DIV/0!</v>
      </c>
      <c r="H21" s="44" t="e">
        <f>H19*Supuestos!L20</f>
        <v>#DIV/0!</v>
      </c>
      <c r="I21" s="44" t="e">
        <f>I19*Supuestos!M20</f>
        <v>#DIV/0!</v>
      </c>
      <c r="J21" s="44" t="e">
        <f>J19*Supuestos!N20</f>
        <v>#DIV/0!</v>
      </c>
      <c r="K21" s="44" t="e">
        <f>K19*Supuestos!O20</f>
        <v>#DIV/0!</v>
      </c>
      <c r="L21" s="44" t="e">
        <f>L19*Supuestos!P20</f>
        <v>#DIV/0!</v>
      </c>
      <c r="M21" s="264" t="e">
        <f>M19*Supuestos!Q20</f>
        <v>#DIV/0!</v>
      </c>
    </row>
    <row r="22" spans="1:36" s="10" customFormat="1">
      <c r="A22" s="266" t="s">
        <v>37</v>
      </c>
      <c r="B22" s="44">
        <f t="shared" ref="B22:K22" si="11">SUM(B23:B24)</f>
        <v>0</v>
      </c>
      <c r="C22" s="44">
        <f t="shared" si="11"/>
        <v>0</v>
      </c>
      <c r="D22" s="10">
        <f t="shared" si="11"/>
        <v>0</v>
      </c>
      <c r="E22" s="10">
        <f t="shared" si="11"/>
        <v>0</v>
      </c>
      <c r="F22" s="10">
        <f t="shared" si="11"/>
        <v>0</v>
      </c>
      <c r="G22" s="10">
        <f t="shared" si="11"/>
        <v>0</v>
      </c>
      <c r="H22" s="10" t="e">
        <f t="shared" si="11"/>
        <v>#DIV/0!</v>
      </c>
      <c r="I22" s="10" t="e">
        <f t="shared" si="11"/>
        <v>#DIV/0!</v>
      </c>
      <c r="J22" s="10" t="e">
        <f t="shared" si="11"/>
        <v>#DIV/0!</v>
      </c>
      <c r="K22" s="10" t="e">
        <f t="shared" si="11"/>
        <v>#DIV/0!</v>
      </c>
      <c r="L22" s="10" t="e">
        <f>SUM(L23:L24)</f>
        <v>#DIV/0!</v>
      </c>
      <c r="M22" s="265" t="e">
        <f t="shared" ref="M22" si="12">SUM(M23:M24)</f>
        <v>#DIV/0!</v>
      </c>
    </row>
    <row r="23" spans="1:36" s="10" customFormat="1">
      <c r="A23" s="273" t="s">
        <v>71</v>
      </c>
      <c r="B23" s="44">
        <f>'Emisiones COP'!D8</f>
        <v>0</v>
      </c>
      <c r="C23" s="44">
        <f>'Emisiones COP'!E8</f>
        <v>0</v>
      </c>
      <c r="D23" s="10">
        <f>'Emisiones COP'!F8</f>
        <v>0</v>
      </c>
      <c r="E23" s="10">
        <f>'Emisiones COP'!G8</f>
        <v>0</v>
      </c>
      <c r="F23" s="10">
        <f>'Emisiones COP'!H8</f>
        <v>0</v>
      </c>
      <c r="G23" s="10">
        <f>'Emisiones COP'!I8</f>
        <v>0</v>
      </c>
      <c r="H23" s="10" t="e">
        <f>'Emisiones COP'!J8</f>
        <v>#DIV/0!</v>
      </c>
      <c r="I23" s="10" t="e">
        <f>'Emisiones COP'!K8</f>
        <v>#DIV/0!</v>
      </c>
      <c r="J23" s="10" t="e">
        <f>'Emisiones COP'!L8</f>
        <v>#DIV/0!</v>
      </c>
      <c r="K23" s="10" t="e">
        <f>'Emisiones COP'!M8</f>
        <v>#DIV/0!</v>
      </c>
      <c r="L23" s="10" t="e">
        <f>'Emisiones COP'!N8</f>
        <v>#DIV/0!</v>
      </c>
      <c r="M23" s="265" t="e">
        <f>'Emisiones COP'!O8</f>
        <v>#DIV/0!</v>
      </c>
    </row>
    <row r="24" spans="1:36" s="10" customFormat="1">
      <c r="A24" s="273" t="s">
        <v>72</v>
      </c>
      <c r="B24" s="44">
        <f>'Emisiones UVR'!D16</f>
        <v>0</v>
      </c>
      <c r="C24" s="44">
        <f>'Emisiones UVR'!E16</f>
        <v>0</v>
      </c>
      <c r="D24" s="10">
        <f>'Emisiones UVR'!F16</f>
        <v>0</v>
      </c>
      <c r="E24" s="10">
        <f>'Emisiones UVR'!G16</f>
        <v>0</v>
      </c>
      <c r="F24" s="10">
        <f>'Emisiones UVR'!H16</f>
        <v>0</v>
      </c>
      <c r="G24" s="10">
        <f>'Emisiones UVR'!I16</f>
        <v>0</v>
      </c>
      <c r="H24" s="10" t="e">
        <f>'Emisiones UVR'!J16</f>
        <v>#DIV/0!</v>
      </c>
      <c r="I24" s="10" t="e">
        <f>'Emisiones UVR'!K16</f>
        <v>#DIV/0!</v>
      </c>
      <c r="J24" s="10" t="e">
        <f>'Emisiones UVR'!L16</f>
        <v>#DIV/0!</v>
      </c>
      <c r="K24" s="10" t="e">
        <f>'Emisiones UVR'!M16</f>
        <v>#DIV/0!</v>
      </c>
      <c r="L24" s="10" t="e">
        <f>'Emisiones UVR'!N16</f>
        <v>#DIV/0!</v>
      </c>
      <c r="M24" s="265" t="e">
        <f>'Emisiones UVR'!O16</f>
        <v>#DIV/0!</v>
      </c>
    </row>
    <row r="25" spans="1:36" s="9" customFormat="1">
      <c r="A25" s="260" t="s">
        <v>38</v>
      </c>
      <c r="B25" s="261">
        <f>SUM(B26:B27)</f>
        <v>0</v>
      </c>
      <c r="C25" s="261" t="e">
        <f>SUM(C26:C27)</f>
        <v>#DIV/0!</v>
      </c>
      <c r="D25" s="261" t="e">
        <f t="shared" ref="D25:L25" si="13">SUM(D26:D27)</f>
        <v>#DIV/0!</v>
      </c>
      <c r="E25" s="261" t="e">
        <f t="shared" si="13"/>
        <v>#DIV/0!</v>
      </c>
      <c r="F25" s="261" t="e">
        <f t="shared" si="13"/>
        <v>#DIV/0!</v>
      </c>
      <c r="G25" s="261" t="e">
        <f t="shared" si="13"/>
        <v>#DIV/0!</v>
      </c>
      <c r="H25" s="261" t="e">
        <f t="shared" si="13"/>
        <v>#DIV/0!</v>
      </c>
      <c r="I25" s="261" t="e">
        <f t="shared" si="13"/>
        <v>#DIV/0!</v>
      </c>
      <c r="J25" s="261" t="e">
        <f t="shared" si="13"/>
        <v>#DIV/0!</v>
      </c>
      <c r="K25" s="261" t="e">
        <f t="shared" si="13"/>
        <v>#DIV/0!</v>
      </c>
      <c r="L25" s="261" t="e">
        <f t="shared" si="13"/>
        <v>#DIV/0!</v>
      </c>
      <c r="M25" s="262" t="e">
        <f t="shared" ref="M25" si="14">SUM(M26:M27)</f>
        <v>#DIV/0!</v>
      </c>
      <c r="N25" s="10"/>
      <c r="O25" s="10"/>
      <c r="P25" s="10"/>
      <c r="Q25" s="10"/>
      <c r="R25" s="10"/>
      <c r="S25" s="10"/>
      <c r="T25" s="10"/>
      <c r="U25" s="10"/>
      <c r="V25" s="10"/>
      <c r="W25" s="10"/>
      <c r="X25" s="10"/>
      <c r="Y25" s="10"/>
      <c r="Z25" s="10"/>
      <c r="AA25" s="10"/>
      <c r="AB25" s="10"/>
      <c r="AC25" s="10"/>
      <c r="AD25" s="10"/>
      <c r="AE25" s="10"/>
      <c r="AF25" s="10"/>
      <c r="AG25" s="10"/>
      <c r="AH25" s="10"/>
      <c r="AI25" s="10"/>
      <c r="AJ25" s="10"/>
    </row>
    <row r="26" spans="1:36" s="10" customFormat="1">
      <c r="A26" s="266" t="s">
        <v>39</v>
      </c>
      <c r="B26" s="44">
        <f>B19*Supuestos!F21</f>
        <v>0</v>
      </c>
      <c r="C26" s="44" t="e">
        <f>C19*Supuestos!G21</f>
        <v>#DIV/0!</v>
      </c>
      <c r="D26" s="44" t="e">
        <f>D19*Supuestos!H21</f>
        <v>#DIV/0!</v>
      </c>
      <c r="E26" s="44" t="e">
        <f>E19*Supuestos!I21</f>
        <v>#DIV/0!</v>
      </c>
      <c r="F26" s="44" t="e">
        <f>F19*Supuestos!J21</f>
        <v>#DIV/0!</v>
      </c>
      <c r="G26" s="44" t="e">
        <f>G19*Supuestos!K21</f>
        <v>#DIV/0!</v>
      </c>
      <c r="H26" s="44" t="e">
        <f>H19*Supuestos!L21</f>
        <v>#DIV/0!</v>
      </c>
      <c r="I26" s="44" t="e">
        <f>I19*Supuestos!M21</f>
        <v>#DIV/0!</v>
      </c>
      <c r="J26" s="44" t="e">
        <f>J19*Supuestos!N21</f>
        <v>#DIV/0!</v>
      </c>
      <c r="K26" s="44" t="e">
        <f>K19*Supuestos!O21</f>
        <v>#DIV/0!</v>
      </c>
      <c r="L26" s="44" t="e">
        <f>L19*Supuestos!P21</f>
        <v>#DIV/0!</v>
      </c>
      <c r="M26" s="264" t="e">
        <f>M19*Supuestos!Q21</f>
        <v>#DIV/0!</v>
      </c>
    </row>
    <row r="27" spans="1:36" s="10" customFormat="1">
      <c r="A27" s="266" t="s">
        <v>37</v>
      </c>
      <c r="B27" s="10">
        <f t="shared" ref="B27:L27" si="15">+SUM(B28:B29)</f>
        <v>0</v>
      </c>
      <c r="C27" s="10">
        <f t="shared" si="15"/>
        <v>0</v>
      </c>
      <c r="D27" s="10">
        <f t="shared" si="15"/>
        <v>0</v>
      </c>
      <c r="E27" s="10">
        <f t="shared" si="15"/>
        <v>0</v>
      </c>
      <c r="F27" s="10">
        <f t="shared" si="15"/>
        <v>0</v>
      </c>
      <c r="G27" s="10" t="e">
        <f t="shared" si="15"/>
        <v>#DIV/0!</v>
      </c>
      <c r="H27" s="10" t="e">
        <f t="shared" si="15"/>
        <v>#DIV/0!</v>
      </c>
      <c r="I27" s="10" t="e">
        <f t="shared" si="15"/>
        <v>#DIV/0!</v>
      </c>
      <c r="J27" s="10" t="e">
        <f t="shared" si="15"/>
        <v>#DIV/0!</v>
      </c>
      <c r="K27" s="10" t="e">
        <f t="shared" si="15"/>
        <v>#DIV/0!</v>
      </c>
      <c r="L27" s="10" t="e">
        <f t="shared" si="15"/>
        <v>#DIV/0!</v>
      </c>
      <c r="M27" s="265" t="e">
        <f t="shared" ref="M27" si="16">+SUM(M28:M29)</f>
        <v>#DIV/0!</v>
      </c>
    </row>
    <row r="28" spans="1:36" s="10" customFormat="1">
      <c r="A28" s="273" t="s">
        <v>203</v>
      </c>
      <c r="B28" s="10">
        <f>'Emisiones USD Bonos'!D15</f>
        <v>0</v>
      </c>
      <c r="C28" s="44">
        <f>'Emisiones USD Bonos'!E15</f>
        <v>0</v>
      </c>
      <c r="D28" s="10">
        <f>'Emisiones USD Bonos'!F15</f>
        <v>0</v>
      </c>
      <c r="E28" s="10">
        <f>'Emisiones USD Bonos'!G15</f>
        <v>0</v>
      </c>
      <c r="F28" s="10">
        <f>'Emisiones USD Bonos'!H15</f>
        <v>0</v>
      </c>
      <c r="G28" s="10" t="e">
        <f>'Emisiones USD Bonos'!I15</f>
        <v>#DIV/0!</v>
      </c>
      <c r="H28" s="10" t="e">
        <f>'Emisiones USD Bonos'!J15</f>
        <v>#DIV/0!</v>
      </c>
      <c r="I28" s="10" t="e">
        <f>'Emisiones USD Bonos'!K15</f>
        <v>#DIV/0!</v>
      </c>
      <c r="J28" s="10" t="e">
        <f>'Emisiones USD Bonos'!L15</f>
        <v>#DIV/0!</v>
      </c>
      <c r="K28" s="10" t="e">
        <f>'Emisiones USD Bonos'!M15</f>
        <v>#DIV/0!</v>
      </c>
      <c r="L28" s="10" t="e">
        <f>'Emisiones USD Bonos'!N15</f>
        <v>#DIV/0!</v>
      </c>
      <c r="M28" s="265" t="e">
        <f>'Emisiones USD Bonos'!O15</f>
        <v>#DIV/0!</v>
      </c>
    </row>
    <row r="29" spans="1:36" s="10" customFormat="1">
      <c r="A29" s="274" t="s">
        <v>204</v>
      </c>
      <c r="B29" s="275">
        <f>'Emisiones USD Multil'!D15</f>
        <v>0</v>
      </c>
      <c r="C29" s="275">
        <f>'Emisiones USD Multil'!E15</f>
        <v>0</v>
      </c>
      <c r="D29" s="275">
        <f>'Emisiones USD Multil'!F15</f>
        <v>0</v>
      </c>
      <c r="E29" s="275">
        <f>'Emisiones USD Multil'!G15</f>
        <v>0</v>
      </c>
      <c r="F29" s="275">
        <f>'Emisiones USD Multil'!H15</f>
        <v>0</v>
      </c>
      <c r="G29" s="275" t="e">
        <f>'Emisiones USD Multil'!I15</f>
        <v>#DIV/0!</v>
      </c>
      <c r="H29" s="275" t="e">
        <f>'Emisiones USD Multil'!J15</f>
        <v>#DIV/0!</v>
      </c>
      <c r="I29" s="275" t="e">
        <f>'Emisiones USD Multil'!K15</f>
        <v>#DIV/0!</v>
      </c>
      <c r="J29" s="275" t="e">
        <f>'Emisiones USD Multil'!L15</f>
        <v>#DIV/0!</v>
      </c>
      <c r="K29" s="275" t="e">
        <f>'Emisiones USD Multil'!M15</f>
        <v>#DIV/0!</v>
      </c>
      <c r="L29" s="275" t="e">
        <f>'Emisiones USD Multil'!N15</f>
        <v>#DIV/0!</v>
      </c>
      <c r="M29" s="276" t="e">
        <f>'Emisiones USD Multil'!O15</f>
        <v>#DIV/0!</v>
      </c>
    </row>
    <row r="30" spans="1:36" s="10" customFormat="1">
      <c r="A30" s="5"/>
    </row>
    <row r="31" spans="1:36" s="10" customFormat="1" ht="16" customHeight="1">
      <c r="A31" s="270" t="s">
        <v>161</v>
      </c>
      <c r="B31" s="271">
        <f>SUM(B32:B33)</f>
        <v>0</v>
      </c>
      <c r="C31" s="271">
        <f t="shared" ref="C31:M31" si="17">SUM(C32:C33)</f>
        <v>0</v>
      </c>
      <c r="D31" s="271">
        <f t="shared" si="17"/>
        <v>0</v>
      </c>
      <c r="E31" s="271">
        <f t="shared" si="17"/>
        <v>0</v>
      </c>
      <c r="F31" s="271">
        <f t="shared" si="17"/>
        <v>0</v>
      </c>
      <c r="G31" s="271">
        <f t="shared" si="17"/>
        <v>0</v>
      </c>
      <c r="H31" s="271">
        <f t="shared" si="17"/>
        <v>0</v>
      </c>
      <c r="I31" s="271">
        <f t="shared" si="17"/>
        <v>0</v>
      </c>
      <c r="J31" s="271">
        <f t="shared" si="17"/>
        <v>0</v>
      </c>
      <c r="K31" s="271">
        <f t="shared" si="17"/>
        <v>0</v>
      </c>
      <c r="L31" s="271">
        <f t="shared" si="17"/>
        <v>0</v>
      </c>
      <c r="M31" s="272">
        <f t="shared" si="17"/>
        <v>0</v>
      </c>
      <c r="O31" s="731" t="s">
        <v>393</v>
      </c>
      <c r="P31" s="731"/>
      <c r="Q31" s="731"/>
      <c r="R31" s="731"/>
      <c r="S31" s="731"/>
      <c r="T31" s="731"/>
      <c r="U31" s="731"/>
    </row>
    <row r="32" spans="1:36" s="10" customFormat="1">
      <c r="A32" s="266" t="s">
        <v>41</v>
      </c>
      <c r="B32" s="44">
        <f>'F&amp;U'!F18+B34</f>
        <v>0</v>
      </c>
      <c r="C32" s="10">
        <f>'F&amp;U'!F37+C34</f>
        <v>0</v>
      </c>
      <c r="D32" s="10">
        <f>+'Perfil de vencimientos'!E11/1000+D34</f>
        <v>0</v>
      </c>
      <c r="E32" s="10">
        <f>+'Perfil de vencimientos'!F11/1000+E34</f>
        <v>0</v>
      </c>
      <c r="F32" s="10">
        <f>+'Perfil de vencimientos'!G11/1000+F34</f>
        <v>0</v>
      </c>
      <c r="G32" s="10">
        <f>+'Perfil de vencimientos'!H11/1000+G34</f>
        <v>0</v>
      </c>
      <c r="H32" s="10">
        <f>+'Perfil de vencimientos'!I11/1000+H34</f>
        <v>0</v>
      </c>
      <c r="I32" s="10">
        <f>+'Perfil de vencimientos'!J11/1000+I34</f>
        <v>0</v>
      </c>
      <c r="J32" s="10">
        <f>+'Perfil de vencimientos'!K11/1000+J34</f>
        <v>0</v>
      </c>
      <c r="K32" s="10">
        <f>+'Perfil de vencimientos'!L11/1000+K34</f>
        <v>0</v>
      </c>
      <c r="L32" s="10">
        <f>+'Perfil de vencimientos'!M11/1000+L34</f>
        <v>0</v>
      </c>
      <c r="M32" s="265">
        <f>+'Perfil de vencimientos'!N11/1000+M34</f>
        <v>0</v>
      </c>
      <c r="O32" s="731"/>
      <c r="P32" s="731"/>
      <c r="Q32" s="731"/>
      <c r="R32" s="731"/>
      <c r="S32" s="731"/>
      <c r="T32" s="731"/>
      <c r="U32" s="731"/>
    </row>
    <row r="33" spans="1:26" s="10" customFormat="1" ht="16">
      <c r="A33" s="644" t="s">
        <v>366</v>
      </c>
      <c r="B33" s="700">
        <f>(-('F&amp;U'!C16-'F&amp;U'!I13)-'F&amp;U'!C20+('F&amp;U'!F22-'F&amp;U'!C22)+'F&amp;U'!F20)*Supuestos!G20</f>
        <v>0</v>
      </c>
      <c r="C33" s="700">
        <f>(-('F&amp;U'!C35-'F&amp;U'!I33)-'F&amp;U'!C39+('F&amp;U'!F41-'F&amp;U'!C41)+'F&amp;U'!F39)*Supuestos!G20</f>
        <v>0</v>
      </c>
      <c r="D33" s="230"/>
      <c r="E33" s="230"/>
      <c r="F33" s="230"/>
      <c r="G33" s="230"/>
      <c r="H33" s="230"/>
      <c r="I33" s="230"/>
      <c r="J33" s="230"/>
      <c r="K33" s="230"/>
      <c r="L33" s="230"/>
      <c r="M33" s="231"/>
      <c r="O33" s="731"/>
      <c r="P33" s="731"/>
      <c r="Q33" s="731"/>
      <c r="R33" s="731"/>
      <c r="S33" s="731"/>
      <c r="T33" s="731"/>
      <c r="U33" s="731"/>
    </row>
    <row r="34" spans="1:26" s="10" customFormat="1" ht="15" customHeight="1">
      <c r="A34" s="266" t="s">
        <v>391</v>
      </c>
      <c r="B34" s="230"/>
      <c r="C34" s="230"/>
      <c r="D34" s="230"/>
      <c r="E34" s="230"/>
      <c r="F34" s="230"/>
      <c r="G34" s="230"/>
      <c r="H34" s="230"/>
      <c r="I34" s="230"/>
      <c r="J34" s="230"/>
      <c r="K34" s="230"/>
      <c r="L34" s="230"/>
      <c r="M34" s="231"/>
      <c r="O34" s="731"/>
      <c r="P34" s="731"/>
      <c r="Q34" s="731"/>
      <c r="R34" s="731"/>
      <c r="S34" s="731"/>
      <c r="T34" s="731"/>
      <c r="U34" s="731"/>
    </row>
    <row r="35" spans="1:26" s="10" customFormat="1">
      <c r="A35" s="257" t="s">
        <v>162</v>
      </c>
      <c r="B35" s="258">
        <f t="shared" ref="B35:M35" si="18">SUM(B36:B37)</f>
        <v>0</v>
      </c>
      <c r="C35" s="258">
        <f>SUM(C36:C37)</f>
        <v>0</v>
      </c>
      <c r="D35" s="258">
        <f t="shared" si="18"/>
        <v>0</v>
      </c>
      <c r="E35" s="258">
        <f t="shared" si="18"/>
        <v>0</v>
      </c>
      <c r="F35" s="258">
        <f t="shared" si="18"/>
        <v>0</v>
      </c>
      <c r="G35" s="258">
        <f t="shared" si="18"/>
        <v>0</v>
      </c>
      <c r="H35" s="258">
        <f t="shared" si="18"/>
        <v>0</v>
      </c>
      <c r="I35" s="258">
        <f t="shared" si="18"/>
        <v>0</v>
      </c>
      <c r="J35" s="258">
        <f t="shared" si="18"/>
        <v>0</v>
      </c>
      <c r="K35" s="258">
        <f t="shared" si="18"/>
        <v>0</v>
      </c>
      <c r="L35" s="258">
        <f t="shared" si="18"/>
        <v>0</v>
      </c>
      <c r="M35" s="259">
        <f t="shared" si="18"/>
        <v>0</v>
      </c>
      <c r="O35" s="731"/>
      <c r="P35" s="731"/>
      <c r="Q35" s="731"/>
      <c r="R35" s="731"/>
      <c r="S35" s="731"/>
      <c r="T35" s="731"/>
      <c r="U35" s="731"/>
    </row>
    <row r="36" spans="1:26" s="10" customFormat="1">
      <c r="A36" s="266" t="s">
        <v>224</v>
      </c>
      <c r="B36" s="44">
        <f>'F&amp;U'!E17*Supuestos!F17/1000+B38</f>
        <v>0</v>
      </c>
      <c r="C36" s="10">
        <f>'F&amp;U'!E36*Supuestos!G17/1000+C38</f>
        <v>0</v>
      </c>
      <c r="D36" s="10">
        <f>'Perfil de vencimientos'!E25*Supuestos!H17/1000+D38</f>
        <v>0</v>
      </c>
      <c r="E36" s="10">
        <f>'Perfil de vencimientos'!F25*Supuestos!I17/1000+E38</f>
        <v>0</v>
      </c>
      <c r="F36" s="10">
        <f>'Perfil de vencimientos'!G25*Supuestos!J17/1000+F38</f>
        <v>0</v>
      </c>
      <c r="G36" s="10">
        <f>'Perfil de vencimientos'!H25*Supuestos!K17/1000+G38</f>
        <v>0</v>
      </c>
      <c r="H36" s="10">
        <f>'Perfil de vencimientos'!I25*Supuestos!L17/1000+H38</f>
        <v>0</v>
      </c>
      <c r="I36" s="10">
        <f>'Perfil de vencimientos'!J25*Supuestos!M17/1000+I38</f>
        <v>0</v>
      </c>
      <c r="J36" s="10">
        <f>'Perfil de vencimientos'!K25*Supuestos!N17/1000+J38</f>
        <v>0</v>
      </c>
      <c r="K36" s="10">
        <f>'Perfil de vencimientos'!L25*Supuestos!O17/1000+K38</f>
        <v>0</v>
      </c>
      <c r="L36" s="10">
        <f>'Perfil de vencimientos'!M25*Supuestos!P17/1000+L38</f>
        <v>0</v>
      </c>
      <c r="M36" s="265">
        <f>'Perfil de vencimientos'!N25*Supuestos!Q17/1000+M38</f>
        <v>0</v>
      </c>
      <c r="O36" s="731"/>
      <c r="P36" s="731"/>
      <c r="Q36" s="731"/>
      <c r="R36" s="731"/>
      <c r="S36" s="731"/>
      <c r="T36" s="731"/>
      <c r="U36" s="731"/>
    </row>
    <row r="37" spans="1:26" s="10" customFormat="1" ht="16">
      <c r="A37" s="644" t="s">
        <v>366</v>
      </c>
      <c r="B37" s="701">
        <f>(-('F&amp;U'!C16-'F&amp;U'!I13)-'F&amp;U'!C20+('F&amp;U'!F22-'F&amp;U'!C22)+'F&amp;U'!F20)*Supuestos!G21</f>
        <v>0</v>
      </c>
      <c r="C37" s="701">
        <f>(-('F&amp;U'!C35-'F&amp;U'!I33)-'F&amp;U'!C39+('F&amp;U'!F41-'F&amp;U'!C41)+'F&amp;U'!F39)*Supuestos!G21</f>
        <v>0</v>
      </c>
      <c r="D37" s="702"/>
      <c r="E37" s="702"/>
      <c r="F37" s="702"/>
      <c r="G37" s="702"/>
      <c r="H37" s="702"/>
      <c r="I37" s="702"/>
      <c r="J37" s="702"/>
      <c r="K37" s="702"/>
      <c r="L37" s="702"/>
      <c r="M37" s="645"/>
    </row>
    <row r="38" spans="1:26" s="10" customFormat="1">
      <c r="A38" s="277" t="s">
        <v>392</v>
      </c>
      <c r="B38" s="646"/>
      <c r="C38" s="646"/>
      <c r="D38" s="646"/>
      <c r="E38" s="646"/>
      <c r="F38" s="646"/>
      <c r="G38" s="646"/>
      <c r="H38" s="646"/>
      <c r="I38" s="646"/>
      <c r="J38" s="646"/>
      <c r="K38" s="646"/>
      <c r="L38" s="646"/>
      <c r="M38" s="647"/>
      <c r="O38" s="730" t="s">
        <v>394</v>
      </c>
      <c r="P38" s="730"/>
      <c r="Q38" s="730"/>
      <c r="R38" s="730"/>
      <c r="S38" s="730"/>
      <c r="T38" s="730"/>
      <c r="U38" s="730"/>
    </row>
    <row r="39" spans="1:26" s="10" customFormat="1">
      <c r="A39" s="45"/>
      <c r="O39" s="730"/>
      <c r="P39" s="730"/>
      <c r="Q39" s="730"/>
      <c r="R39" s="730"/>
      <c r="S39" s="730"/>
      <c r="T39" s="730"/>
      <c r="U39" s="730"/>
    </row>
    <row r="40" spans="1:26" s="10" customFormat="1">
      <c r="A40" s="280" t="s">
        <v>42</v>
      </c>
      <c r="B40" s="281">
        <f t="shared" ref="B40:M40" si="19">SUM(B19,B22,B27,B31,B35)</f>
        <v>0</v>
      </c>
      <c r="C40" s="281" t="e">
        <f t="shared" si="19"/>
        <v>#DIV/0!</v>
      </c>
      <c r="D40" s="281" t="e">
        <f t="shared" si="19"/>
        <v>#DIV/0!</v>
      </c>
      <c r="E40" s="281" t="e">
        <f t="shared" si="19"/>
        <v>#DIV/0!</v>
      </c>
      <c r="F40" s="281" t="e">
        <f t="shared" si="19"/>
        <v>#DIV/0!</v>
      </c>
      <c r="G40" s="281" t="e">
        <f t="shared" si="19"/>
        <v>#DIV/0!</v>
      </c>
      <c r="H40" s="281" t="e">
        <f t="shared" si="19"/>
        <v>#DIV/0!</v>
      </c>
      <c r="I40" s="281" t="e">
        <f t="shared" si="19"/>
        <v>#DIV/0!</v>
      </c>
      <c r="J40" s="281" t="e">
        <f t="shared" si="19"/>
        <v>#DIV/0!</v>
      </c>
      <c r="K40" s="281" t="e">
        <f t="shared" si="19"/>
        <v>#DIV/0!</v>
      </c>
      <c r="L40" s="281" t="e">
        <f t="shared" si="19"/>
        <v>#DIV/0!</v>
      </c>
      <c r="M40" s="282" t="e">
        <f t="shared" si="19"/>
        <v>#DIV/0!</v>
      </c>
      <c r="O40" s="730"/>
      <c r="P40" s="730"/>
      <c r="Q40" s="730"/>
      <c r="R40" s="730"/>
      <c r="S40" s="730"/>
      <c r="T40" s="730"/>
      <c r="U40" s="730"/>
    </row>
    <row r="41" spans="1:26">
      <c r="N41" s="10"/>
      <c r="O41" s="10"/>
      <c r="P41" s="10"/>
      <c r="Q41" s="10"/>
      <c r="R41" s="10"/>
      <c r="S41" s="10"/>
      <c r="T41" s="10"/>
      <c r="U41" s="10"/>
      <c r="V41" s="10"/>
      <c r="W41" s="10"/>
      <c r="X41" s="10"/>
      <c r="Y41" s="10"/>
      <c r="Z41" s="10"/>
    </row>
    <row r="42" spans="1:26">
      <c r="D42" s="10"/>
      <c r="E42" s="10"/>
      <c r="F42" s="10"/>
      <c r="G42" s="10"/>
      <c r="H42" s="10"/>
      <c r="I42" s="10"/>
      <c r="J42" s="10"/>
      <c r="K42" s="10"/>
      <c r="L42" s="10"/>
      <c r="M42" s="10"/>
    </row>
    <row r="43" spans="1:26">
      <c r="D43" s="10"/>
      <c r="E43" s="10"/>
      <c r="F43" s="10"/>
      <c r="G43" s="10"/>
    </row>
    <row r="44" spans="1:26">
      <c r="D44" s="10"/>
      <c r="E44" s="10"/>
      <c r="F44" s="10"/>
      <c r="G44" s="10"/>
    </row>
    <row r="45" spans="1:26">
      <c r="D45" s="10"/>
      <c r="E45" s="10"/>
      <c r="F45" s="10"/>
      <c r="G45" s="10"/>
    </row>
    <row r="46" spans="1:26">
      <c r="D46" s="10"/>
      <c r="E46" s="10"/>
      <c r="F46" s="10"/>
      <c r="G46" s="10"/>
    </row>
    <row r="47" spans="1:26">
      <c r="D47" s="10"/>
      <c r="E47" s="10"/>
      <c r="F47" s="10"/>
      <c r="G47" s="10"/>
    </row>
    <row r="48" spans="1:26">
      <c r="D48" s="10"/>
    </row>
    <row r="49" spans="2:4">
      <c r="D49" s="10"/>
    </row>
    <row r="50" spans="2:4">
      <c r="B50" s="10"/>
      <c r="C50" s="10"/>
    </row>
    <row r="51" spans="2:4">
      <c r="B51" s="10"/>
      <c r="C51" s="10"/>
    </row>
  </sheetData>
  <mergeCells count="3">
    <mergeCell ref="H1:I1"/>
    <mergeCell ref="O38:U40"/>
    <mergeCell ref="O31:U36"/>
  </mergeCells>
  <hyperlinks>
    <hyperlink ref="H1" location="'Cumplimiento de la regla'!A1" display="Cumplimiento de la regla" xr:uid="{EC435A86-F01E-0B4B-997F-9B1BD380B716}"/>
    <hyperlink ref="D1" location="Introducción!A1" display="Introducción" xr:uid="{C43246CF-2C9E-0C4B-9520-A50176B93CB9}"/>
    <hyperlink ref="G1" location="Gráficos!A1" display="Gráficos" xr:uid="{AEABB7CE-0A17-094A-A421-F8650A10EF33}"/>
    <hyperlink ref="F1" location="SALIDA!A1" display="SALIDA" xr:uid="{715CFDCC-CE34-3246-87A9-8BF6DD6BFAC7}"/>
    <hyperlink ref="E1" location="Supuestos!A1" display="Supuestos" xr:uid="{6116BA6C-7A11-2A48-A37C-81A4DB5A0CD3}"/>
  </hyperlinks>
  <pageMargins left="0.7" right="0.7" top="0.75" bottom="0.75" header="0.3" footer="0.3"/>
  <pageSetup orientation="portrait" r:id="rId1"/>
  <ignoredErrors>
    <ignoredError sqref="D21:J21"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9FDBB-2C75-4E48-BFE7-FCA3D1C5A753}">
  <sheetPr codeName="Sheet5">
    <tabColor theme="5" tint="0.59999389629810485"/>
  </sheetPr>
  <dimension ref="A1:AU143"/>
  <sheetViews>
    <sheetView zoomScale="90" zoomScaleNormal="90" workbookViewId="0">
      <selection activeCell="B3" sqref="B3"/>
    </sheetView>
  </sheetViews>
  <sheetFormatPr baseColWidth="10" defaultColWidth="10.83203125" defaultRowHeight="15"/>
  <cols>
    <col min="1" max="1" width="4.83203125" style="5" customWidth="1"/>
    <col min="2" max="2" width="44.33203125" style="48" customWidth="1"/>
    <col min="3" max="15" width="11.6640625" style="5" customWidth="1"/>
    <col min="16" max="45" width="8.33203125" style="5" bestFit="1" customWidth="1"/>
    <col min="46" max="46" width="8.5" style="5" bestFit="1" customWidth="1"/>
    <col min="47" max="47" width="9.1640625" style="5" bestFit="1" customWidth="1"/>
    <col min="48" max="16384" width="10.83203125" style="5"/>
  </cols>
  <sheetData>
    <row r="1" spans="2:15">
      <c r="C1" s="48"/>
      <c r="D1" s="10"/>
    </row>
    <row r="2" spans="2:15" ht="16">
      <c r="B2" s="49" t="s">
        <v>71</v>
      </c>
      <c r="C2" s="50">
        <v>2022</v>
      </c>
      <c r="D2" s="50">
        <v>2023</v>
      </c>
      <c r="E2" s="50">
        <v>2024</v>
      </c>
      <c r="F2" s="50">
        <v>2025</v>
      </c>
      <c r="G2" s="50">
        <v>2026</v>
      </c>
      <c r="H2" s="50">
        <v>2027</v>
      </c>
      <c r="I2" s="50">
        <v>2028</v>
      </c>
      <c r="J2" s="50">
        <v>2029</v>
      </c>
      <c r="K2" s="50">
        <v>2030</v>
      </c>
      <c r="L2" s="50">
        <v>2031</v>
      </c>
      <c r="M2" s="50">
        <v>2032</v>
      </c>
      <c r="N2" s="50">
        <v>2033</v>
      </c>
      <c r="O2" s="50">
        <v>2034</v>
      </c>
    </row>
    <row r="3" spans="2:15" s="37" customFormat="1" ht="16">
      <c r="B3" s="51" t="s">
        <v>300</v>
      </c>
      <c r="C3" s="52"/>
      <c r="D3" s="52">
        <f>'Deuda a emitir'!B$20*Supuestos!F23</f>
        <v>0</v>
      </c>
      <c r="E3" s="52" t="e">
        <f>'Deuda a emitir'!C$20*Supuestos!G23</f>
        <v>#DIV/0!</v>
      </c>
      <c r="F3" s="52" t="e">
        <f>'Deuda a emitir'!D$20*Supuestos!H23</f>
        <v>#DIV/0!</v>
      </c>
      <c r="G3" s="52" t="e">
        <f>'Deuda a emitir'!E$20*Supuestos!I23</f>
        <v>#DIV/0!</v>
      </c>
      <c r="H3" s="52" t="e">
        <f>'Deuda a emitir'!F$20*Supuestos!J23</f>
        <v>#DIV/0!</v>
      </c>
      <c r="I3" s="52" t="e">
        <f>'Deuda a emitir'!G$20*Supuestos!K23</f>
        <v>#DIV/0!</v>
      </c>
      <c r="J3" s="52" t="e">
        <f>'Deuda a emitir'!H$20*Supuestos!L23</f>
        <v>#DIV/0!</v>
      </c>
      <c r="K3" s="52" t="e">
        <f>'Deuda a emitir'!I$20*Supuestos!M23</f>
        <v>#DIV/0!</v>
      </c>
      <c r="L3" s="52" t="e">
        <f>'Deuda a emitir'!J$20*Supuestos!N23</f>
        <v>#DIV/0!</v>
      </c>
      <c r="M3" s="52" t="e">
        <f>'Deuda a emitir'!K$20*Supuestos!O23</f>
        <v>#DIV/0!</v>
      </c>
      <c r="N3" s="52" t="e">
        <f>'Deuda a emitir'!L$20*Supuestos!P23</f>
        <v>#DIV/0!</v>
      </c>
      <c r="O3" s="52" t="e">
        <f>'Deuda a emitir'!M$20*Supuestos!Q23</f>
        <v>#DIV/0!</v>
      </c>
    </row>
    <row r="4" spans="2:15" s="37" customFormat="1" ht="16">
      <c r="B4" s="51" t="s">
        <v>173</v>
      </c>
      <c r="C4" s="52"/>
      <c r="D4" s="52">
        <f>'Deuda a emitir'!B$31*Supuestos!F23</f>
        <v>0</v>
      </c>
      <c r="E4" s="52">
        <f>'Deuda a emitir'!C$31*Supuestos!G23</f>
        <v>0</v>
      </c>
      <c r="F4" s="52">
        <f>'Deuda a emitir'!D$31*Supuestos!H23</f>
        <v>0</v>
      </c>
      <c r="G4" s="52">
        <f>'Deuda a emitir'!E$31*Supuestos!I23</f>
        <v>0</v>
      </c>
      <c r="H4" s="52">
        <f>'Deuda a emitir'!F$31*Supuestos!J23</f>
        <v>0</v>
      </c>
      <c r="I4" s="52">
        <f>'Deuda a emitir'!G$31*Supuestos!K23</f>
        <v>0</v>
      </c>
      <c r="J4" s="52">
        <f>'Deuda a emitir'!H$31*Supuestos!L23</f>
        <v>0</v>
      </c>
      <c r="K4" s="52">
        <f>'Deuda a emitir'!I$31*Supuestos!M23</f>
        <v>0</v>
      </c>
      <c r="L4" s="52">
        <f>'Deuda a emitir'!J$31*Supuestos!N23</f>
        <v>0</v>
      </c>
      <c r="M4" s="52">
        <f>'Deuda a emitir'!K$31*Supuestos!O23</f>
        <v>0</v>
      </c>
      <c r="N4" s="52">
        <f>'Deuda a emitir'!L$31*Supuestos!P23</f>
        <v>0</v>
      </c>
      <c r="O4" s="52">
        <f>'Deuda a emitir'!M$31*Supuestos!Q23</f>
        <v>0</v>
      </c>
    </row>
    <row r="5" spans="2:15" s="37" customFormat="1" ht="16">
      <c r="B5" s="58" t="s">
        <v>174</v>
      </c>
      <c r="C5" s="52"/>
      <c r="D5" s="60">
        <f>D3+D4</f>
        <v>0</v>
      </c>
      <c r="E5" s="60" t="e">
        <f t="shared" ref="E5:O5" si="0">E3+E4</f>
        <v>#DIV/0!</v>
      </c>
      <c r="F5" s="60" t="e">
        <f t="shared" si="0"/>
        <v>#DIV/0!</v>
      </c>
      <c r="G5" s="60" t="e">
        <f t="shared" si="0"/>
        <v>#DIV/0!</v>
      </c>
      <c r="H5" s="60" t="e">
        <f t="shared" si="0"/>
        <v>#DIV/0!</v>
      </c>
      <c r="I5" s="60" t="e">
        <f t="shared" si="0"/>
        <v>#DIV/0!</v>
      </c>
      <c r="J5" s="60" t="e">
        <f t="shared" si="0"/>
        <v>#DIV/0!</v>
      </c>
      <c r="K5" s="60" t="e">
        <f t="shared" si="0"/>
        <v>#DIV/0!</v>
      </c>
      <c r="L5" s="60" t="e">
        <f t="shared" si="0"/>
        <v>#DIV/0!</v>
      </c>
      <c r="M5" s="60" t="e">
        <f t="shared" si="0"/>
        <v>#DIV/0!</v>
      </c>
      <c r="N5" s="60" t="e">
        <f t="shared" si="0"/>
        <v>#DIV/0!</v>
      </c>
      <c r="O5" s="60" t="e">
        <f t="shared" si="0"/>
        <v>#DIV/0!</v>
      </c>
    </row>
    <row r="6" spans="2:15" s="37" customFormat="1" ht="16">
      <c r="B6" s="51" t="s">
        <v>113</v>
      </c>
      <c r="C6" s="52"/>
      <c r="D6" s="52">
        <f>SUM(D32,D59,D91,D139)</f>
        <v>0</v>
      </c>
      <c r="E6" s="52">
        <f>SUM(E32,E59,E91,E139)</f>
        <v>0</v>
      </c>
      <c r="F6" s="52" t="e">
        <f t="shared" ref="F6:N6" si="1">SUM(F32,F59,F91,F139)</f>
        <v>#DIV/0!</v>
      </c>
      <c r="G6" s="52" t="e">
        <f t="shared" si="1"/>
        <v>#DIV/0!</v>
      </c>
      <c r="H6" s="52" t="e">
        <f t="shared" si="1"/>
        <v>#DIV/0!</v>
      </c>
      <c r="I6" s="52" t="e">
        <f t="shared" si="1"/>
        <v>#DIV/0!</v>
      </c>
      <c r="J6" s="52" t="e">
        <f t="shared" si="1"/>
        <v>#DIV/0!</v>
      </c>
      <c r="K6" s="52" t="e">
        <f t="shared" si="1"/>
        <v>#DIV/0!</v>
      </c>
      <c r="L6" s="52" t="e">
        <f t="shared" si="1"/>
        <v>#DIV/0!</v>
      </c>
      <c r="M6" s="52" t="e">
        <f t="shared" si="1"/>
        <v>#DIV/0!</v>
      </c>
      <c r="N6" s="52" t="e">
        <f t="shared" si="1"/>
        <v>#DIV/0!</v>
      </c>
      <c r="O6" s="52" t="e">
        <f t="shared" ref="O6" si="2">SUM(O32,O59,O91,O139)</f>
        <v>#DIV/0!</v>
      </c>
    </row>
    <row r="7" spans="2:15" s="37" customFormat="1" ht="16">
      <c r="B7" s="51" t="s">
        <v>114</v>
      </c>
      <c r="C7" s="52"/>
      <c r="D7" s="52">
        <f>SUM(D33,D60,D92,D140)</f>
        <v>0</v>
      </c>
      <c r="E7" s="52">
        <f>SUM(E33,E60,E92,E140)</f>
        <v>0</v>
      </c>
      <c r="F7" s="52">
        <f t="shared" ref="F7:N7" si="3">SUM(F33,F60,F92,F140)</f>
        <v>0</v>
      </c>
      <c r="G7" s="52">
        <f t="shared" si="3"/>
        <v>0</v>
      </c>
      <c r="H7" s="52">
        <f t="shared" si="3"/>
        <v>0</v>
      </c>
      <c r="I7" s="52">
        <f t="shared" si="3"/>
        <v>0</v>
      </c>
      <c r="J7" s="52">
        <f t="shared" si="3"/>
        <v>0</v>
      </c>
      <c r="K7" s="52">
        <f t="shared" si="3"/>
        <v>0</v>
      </c>
      <c r="L7" s="52">
        <f t="shared" si="3"/>
        <v>0</v>
      </c>
      <c r="M7" s="52">
        <f t="shared" si="3"/>
        <v>0</v>
      </c>
      <c r="N7" s="52">
        <f t="shared" si="3"/>
        <v>0</v>
      </c>
      <c r="O7" s="52">
        <f t="shared" ref="O7" si="4">SUM(O33,O60,O92,O140)</f>
        <v>0</v>
      </c>
    </row>
    <row r="8" spans="2:15" s="37" customFormat="1" ht="16">
      <c r="B8" s="51" t="s">
        <v>139</v>
      </c>
      <c r="C8" s="53"/>
      <c r="D8" s="53">
        <f>SUMIF($B$17:C$17,"="&amp;D2,$B$21:C$21)+SUMIF($B$39:C$39,"="&amp;D2,$B$43:C$43)+SUMIF($B$66:C$66,"="&amp;D2,$B$70:C$70)+SUMIF($B$99:C$99,"="&amp;D2,$B$103:C$103)</f>
        <v>0</v>
      </c>
      <c r="E8" s="53">
        <f>SUMIF($B$17:D$17,"="&amp;E2,$B$21:D$21)+SUMIF($B$39:D$39,"="&amp;E2,$B$43:D$43)+SUMIF($B$66:D$66,"="&amp;E2,$B$70:D$70)+SUMIF($B$99:D$99,"="&amp;E2,$B$103:D$103)</f>
        <v>0</v>
      </c>
      <c r="F8" s="53">
        <f>SUMIF($B$17:E$17,"="&amp;F2,$B$21:E$21)+SUMIF($B$39:E$39,"="&amp;F2,$B$43:E$43)+SUMIF($B$66:E$66,"="&amp;F2,$B$70:E$70)+SUMIF($B$99:E$99,"="&amp;F2,$B$103:E$103)</f>
        <v>0</v>
      </c>
      <c r="G8" s="53">
        <f>SUMIF($B$17:F$17,"="&amp;G2,$B$21:F$21)+SUMIF($B$39:F$39,"="&amp;G2,$B$43:F$43)+SUMIF($B$66:F$66,"="&amp;G2,$B$70:F$70)+SUMIF($B$99:F$99,"="&amp;G2,$B$103:F$103)</f>
        <v>0</v>
      </c>
      <c r="H8" s="53">
        <f>SUMIF($B$17:G$17,"="&amp;H2,$B$21:G$21)+SUMIF($B$39:G$39,"="&amp;H2,$B$43:G$43)+SUMIF($B$66:G$66,"="&amp;H2,$B$70:G$70)+SUMIF($B$99:G$99,"="&amp;H2,$B$103:G$103)</f>
        <v>0</v>
      </c>
      <c r="I8" s="53">
        <f>SUMIF($B$17:H$17,"="&amp;I2,$B$21:H$21)+SUMIF($B$39:H$39,"="&amp;I2,$B$43:H$43)+SUMIF($B$66:H$66,"="&amp;I2,$B$70:H$70)+SUMIF($B$99:H$99,"="&amp;I2,$B$103:H$103)</f>
        <v>0</v>
      </c>
      <c r="J8" s="53" t="e">
        <f>SUMIF($B$17:I$17,"="&amp;J2,$B$21:I$21)+SUMIF($B$39:I$39,"="&amp;J2,$B$43:I$43)+SUMIF($B$66:I$66,"="&amp;J2,$B$70:I$70)+SUMIF($B$99:I$99,"="&amp;J2,$B$103:I$103)</f>
        <v>#DIV/0!</v>
      </c>
      <c r="K8" s="53" t="e">
        <f>SUMIF($B$17:J$17,"="&amp;K2,$B$21:J$21)+SUMIF($B$39:J$39,"="&amp;K2,$B$43:J$43)+SUMIF($B$66:J$66,"="&amp;K2,$B$70:J$70)+SUMIF($B$99:J$99,"="&amp;K2,$B$103:J$103)</f>
        <v>#DIV/0!</v>
      </c>
      <c r="L8" s="53" t="e">
        <f>SUMIF($B$17:K$17,"="&amp;L2,$B$21:K$21)+SUMIF($B$39:K$39,"="&amp;L2,$B$43:K$43)+SUMIF($B$66:K$66,"="&amp;L2,$B$70:K$70)+SUMIF($B$99:K$99,"="&amp;L2,$B$103:K$103)</f>
        <v>#DIV/0!</v>
      </c>
      <c r="M8" s="53" t="e">
        <f>SUMIF($B$17:L$17,"="&amp;M2,$B$21:L$21)+SUMIF($B$39:L$39,"="&amp;M2,$B$43:L$43)+SUMIF($B$66:L$66,"="&amp;M2,$B$70:L$70)+SUMIF($B$99:L$99,"="&amp;M2,$B$103:L$103)</f>
        <v>#DIV/0!</v>
      </c>
      <c r="N8" s="53" t="e">
        <f>SUMIF($B$17:M$17,"="&amp;N2,$B$21:M$21)+SUMIF($B$39:M$39,"="&amp;N2,$B$43:M$43)+SUMIF($B$66:M$66,"="&amp;N2,$B$70:M$70)+SUMIF($B$99:M$99,"="&amp;N2,$B$103:M$103)</f>
        <v>#DIV/0!</v>
      </c>
      <c r="O8" s="53" t="e">
        <f>SUMIF($B$17:N$17,"="&amp;O2,$B$21:N$21)+SUMIF($B$39:N$39,"="&amp;O2,$B$43:N$43)+SUMIF($B$66:N$66,"="&amp;O2,$B$70:N$70)+SUMIF($B$99:N$99,"="&amp;O2,$B$103:N$103)</f>
        <v>#DIV/0!</v>
      </c>
    </row>
    <row r="9" spans="2:15" s="37" customFormat="1" ht="16">
      <c r="B9" s="51" t="s">
        <v>229</v>
      </c>
      <c r="C9" s="52"/>
      <c r="D9" s="52">
        <f t="shared" ref="D9:O9" si="5">SUM(D23,D45,D72,D105)</f>
        <v>0</v>
      </c>
      <c r="E9" s="52" t="e">
        <f t="shared" si="5"/>
        <v>#DIV/0!</v>
      </c>
      <c r="F9" s="52" t="e">
        <f t="shared" si="5"/>
        <v>#DIV/0!</v>
      </c>
      <c r="G9" s="52" t="e">
        <f t="shared" si="5"/>
        <v>#DIV/0!</v>
      </c>
      <c r="H9" s="52" t="e">
        <f t="shared" si="5"/>
        <v>#DIV/0!</v>
      </c>
      <c r="I9" s="52" t="e">
        <f t="shared" si="5"/>
        <v>#DIV/0!</v>
      </c>
      <c r="J9" s="52" t="e">
        <f t="shared" si="5"/>
        <v>#DIV/0!</v>
      </c>
      <c r="K9" s="52" t="e">
        <f t="shared" si="5"/>
        <v>#DIV/0!</v>
      </c>
      <c r="L9" s="52" t="e">
        <f t="shared" si="5"/>
        <v>#DIV/0!</v>
      </c>
      <c r="M9" s="52" t="e">
        <f t="shared" si="5"/>
        <v>#DIV/0!</v>
      </c>
      <c r="N9" s="52" t="e">
        <f t="shared" si="5"/>
        <v>#DIV/0!</v>
      </c>
      <c r="O9" s="52" t="e">
        <f t="shared" si="5"/>
        <v>#DIV/0!</v>
      </c>
    </row>
    <row r="10" spans="2:15" s="37" customFormat="1">
      <c r="B10" s="51"/>
      <c r="C10" s="53"/>
      <c r="D10" s="53"/>
      <c r="E10" s="53"/>
    </row>
    <row r="11" spans="2:15" s="37" customFormat="1">
      <c r="B11" s="51"/>
    </row>
    <row r="12" spans="2:15" s="37" customFormat="1">
      <c r="B12" s="51"/>
      <c r="D12" s="53"/>
    </row>
    <row r="13" spans="2:15" s="37" customFormat="1">
      <c r="B13" s="49">
        <v>5</v>
      </c>
      <c r="C13" s="50">
        <v>2022</v>
      </c>
      <c r="D13" s="50">
        <v>2023</v>
      </c>
      <c r="E13" s="50">
        <v>2024</v>
      </c>
      <c r="F13" s="50">
        <v>2025</v>
      </c>
      <c r="G13" s="50">
        <v>2026</v>
      </c>
      <c r="H13" s="50">
        <v>2027</v>
      </c>
      <c r="I13" s="50">
        <v>2028</v>
      </c>
      <c r="J13" s="50">
        <v>2029</v>
      </c>
      <c r="K13" s="50">
        <v>2030</v>
      </c>
      <c r="L13" s="50">
        <v>2031</v>
      </c>
      <c r="M13" s="50">
        <v>2032</v>
      </c>
      <c r="N13" s="50">
        <v>2033</v>
      </c>
      <c r="O13" s="50">
        <v>2034</v>
      </c>
    </row>
    <row r="14" spans="2:15" s="37" customFormat="1" ht="16">
      <c r="B14" s="51" t="s">
        <v>105</v>
      </c>
      <c r="C14" s="54"/>
      <c r="D14" s="54">
        <f>Supuestos!F31</f>
        <v>0</v>
      </c>
      <c r="E14" s="54">
        <f>Supuestos!G31</f>
        <v>0</v>
      </c>
      <c r="F14" s="54">
        <f>Supuestos!H31</f>
        <v>0</v>
      </c>
      <c r="G14" s="54">
        <f>Supuestos!I31</f>
        <v>0</v>
      </c>
      <c r="H14" s="54">
        <f>Supuestos!J31</f>
        <v>0</v>
      </c>
      <c r="I14" s="54">
        <f>Supuestos!K31</f>
        <v>0</v>
      </c>
      <c r="J14" s="54">
        <f>Supuestos!L31</f>
        <v>0</v>
      </c>
      <c r="K14" s="54">
        <f>Supuestos!M31</f>
        <v>0</v>
      </c>
      <c r="L14" s="54">
        <f>Supuestos!N31</f>
        <v>0</v>
      </c>
      <c r="M14" s="54">
        <f>Supuestos!O31</f>
        <v>0</v>
      </c>
      <c r="N14" s="54">
        <f>Supuestos!P31</f>
        <v>0</v>
      </c>
      <c r="O14" s="54">
        <f>Supuestos!Q31</f>
        <v>0</v>
      </c>
    </row>
    <row r="15" spans="2:15" s="37" customFormat="1" ht="16">
      <c r="B15" s="51" t="s">
        <v>89</v>
      </c>
      <c r="C15" s="54"/>
      <c r="D15" s="54">
        <f>Supuestos!F32</f>
        <v>0</v>
      </c>
      <c r="E15" s="54">
        <f>Supuestos!G32</f>
        <v>0</v>
      </c>
      <c r="F15" s="54">
        <f>Supuestos!H32</f>
        <v>0</v>
      </c>
      <c r="G15" s="54">
        <f>Supuestos!I32</f>
        <v>0</v>
      </c>
      <c r="H15" s="54">
        <f>Supuestos!J32</f>
        <v>0</v>
      </c>
      <c r="I15" s="54">
        <f>Supuestos!K32</f>
        <v>0</v>
      </c>
      <c r="J15" s="54">
        <f>Supuestos!L32</f>
        <v>0</v>
      </c>
      <c r="K15" s="54">
        <f>Supuestos!M32</f>
        <v>0</v>
      </c>
      <c r="L15" s="54">
        <f>Supuestos!N32</f>
        <v>0</v>
      </c>
      <c r="M15" s="54">
        <f>Supuestos!O32</f>
        <v>0</v>
      </c>
      <c r="N15" s="54">
        <f>Supuestos!P32</f>
        <v>0</v>
      </c>
      <c r="O15" s="54">
        <f>Supuestos!Q32</f>
        <v>0</v>
      </c>
    </row>
    <row r="16" spans="2:15" s="37" customFormat="1" ht="16">
      <c r="B16" s="51" t="s">
        <v>90</v>
      </c>
      <c r="C16" s="55"/>
      <c r="D16" s="55">
        <f>Supuestos!F33</f>
        <v>5</v>
      </c>
      <c r="E16" s="55">
        <f>Supuestos!G33</f>
        <v>5</v>
      </c>
      <c r="F16" s="55">
        <f>Supuestos!H33</f>
        <v>5</v>
      </c>
      <c r="G16" s="55">
        <f>Supuestos!I33</f>
        <v>5</v>
      </c>
      <c r="H16" s="55">
        <f>Supuestos!J33</f>
        <v>5</v>
      </c>
      <c r="I16" s="55">
        <f>Supuestos!K33</f>
        <v>5</v>
      </c>
      <c r="J16" s="55">
        <f>Supuestos!L33</f>
        <v>5</v>
      </c>
      <c r="K16" s="55">
        <f>Supuestos!M33</f>
        <v>5</v>
      </c>
      <c r="L16" s="55">
        <f>Supuestos!N33</f>
        <v>5</v>
      </c>
      <c r="M16" s="55">
        <f>Supuestos!O33</f>
        <v>5</v>
      </c>
      <c r="N16" s="55">
        <f>Supuestos!P33</f>
        <v>5</v>
      </c>
      <c r="O16" s="55">
        <f>Supuestos!Q33</f>
        <v>5</v>
      </c>
    </row>
    <row r="17" spans="2:15" s="37" customFormat="1" ht="16">
      <c r="B17" s="51" t="s">
        <v>79</v>
      </c>
      <c r="C17" s="56"/>
      <c r="D17" s="56">
        <f t="shared" ref="D17:N17" si="6">D13+D16</f>
        <v>2028</v>
      </c>
      <c r="E17" s="56">
        <f t="shared" si="6"/>
        <v>2029</v>
      </c>
      <c r="F17" s="56">
        <f t="shared" si="6"/>
        <v>2030</v>
      </c>
      <c r="G17" s="56">
        <f t="shared" si="6"/>
        <v>2031</v>
      </c>
      <c r="H17" s="56">
        <f t="shared" si="6"/>
        <v>2032</v>
      </c>
      <c r="I17" s="56">
        <f t="shared" si="6"/>
        <v>2033</v>
      </c>
      <c r="J17" s="56">
        <f t="shared" si="6"/>
        <v>2034</v>
      </c>
      <c r="K17" s="56">
        <f t="shared" si="6"/>
        <v>2035</v>
      </c>
      <c r="L17" s="56">
        <f t="shared" si="6"/>
        <v>2036</v>
      </c>
      <c r="M17" s="56">
        <f t="shared" si="6"/>
        <v>2037</v>
      </c>
      <c r="N17" s="56">
        <f t="shared" si="6"/>
        <v>2038</v>
      </c>
      <c r="O17" s="56">
        <f t="shared" ref="O17" si="7">O13+O16</f>
        <v>2039</v>
      </c>
    </row>
    <row r="18" spans="2:15" s="37" customFormat="1" ht="16">
      <c r="B18" s="51" t="s">
        <v>107</v>
      </c>
      <c r="C18" s="54"/>
      <c r="D18" s="54">
        <f>Supuestos!F26</f>
        <v>0</v>
      </c>
      <c r="E18" s="54">
        <f>Supuestos!G26</f>
        <v>0</v>
      </c>
      <c r="F18" s="54">
        <f>Supuestos!H26</f>
        <v>0</v>
      </c>
      <c r="G18" s="54">
        <f>Supuestos!I26</f>
        <v>0</v>
      </c>
      <c r="H18" s="54">
        <f>Supuestos!J26</f>
        <v>0</v>
      </c>
      <c r="I18" s="54">
        <f>Supuestos!K26</f>
        <v>0</v>
      </c>
      <c r="J18" s="54">
        <f>Supuestos!L26</f>
        <v>0</v>
      </c>
      <c r="K18" s="54">
        <f>Supuestos!M26</f>
        <v>0</v>
      </c>
      <c r="L18" s="54">
        <f>Supuestos!N26</f>
        <v>0</v>
      </c>
      <c r="M18" s="54">
        <f>Supuestos!O26</f>
        <v>0</v>
      </c>
      <c r="N18" s="54">
        <f>Supuestos!P26</f>
        <v>0</v>
      </c>
      <c r="O18" s="54">
        <f>Supuestos!Q26</f>
        <v>0</v>
      </c>
    </row>
    <row r="19" spans="2:15" s="37" customFormat="1" ht="16">
      <c r="B19" s="51" t="s">
        <v>301</v>
      </c>
      <c r="C19" s="52"/>
      <c r="D19" s="52">
        <f t="shared" ref="D19:N19" si="8">D$3*D18</f>
        <v>0</v>
      </c>
      <c r="E19" s="52" t="e">
        <f t="shared" si="8"/>
        <v>#DIV/0!</v>
      </c>
      <c r="F19" s="52" t="e">
        <f t="shared" si="8"/>
        <v>#DIV/0!</v>
      </c>
      <c r="G19" s="52" t="e">
        <f t="shared" si="8"/>
        <v>#DIV/0!</v>
      </c>
      <c r="H19" s="52" t="e">
        <f t="shared" si="8"/>
        <v>#DIV/0!</v>
      </c>
      <c r="I19" s="52" t="e">
        <f t="shared" si="8"/>
        <v>#DIV/0!</v>
      </c>
      <c r="J19" s="52" t="e">
        <f t="shared" si="8"/>
        <v>#DIV/0!</v>
      </c>
      <c r="K19" s="52" t="e">
        <f t="shared" si="8"/>
        <v>#DIV/0!</v>
      </c>
      <c r="L19" s="52" t="e">
        <f t="shared" si="8"/>
        <v>#DIV/0!</v>
      </c>
      <c r="M19" s="52" t="e">
        <f t="shared" si="8"/>
        <v>#DIV/0!</v>
      </c>
      <c r="N19" s="52" t="e">
        <f t="shared" si="8"/>
        <v>#DIV/0!</v>
      </c>
      <c r="O19" s="52" t="e">
        <f t="shared" ref="O19" si="9">O$3*O18</f>
        <v>#DIV/0!</v>
      </c>
    </row>
    <row r="20" spans="2:15" s="37" customFormat="1" ht="16">
      <c r="B20" s="51" t="s">
        <v>40</v>
      </c>
      <c r="C20" s="57"/>
      <c r="D20" s="52">
        <f t="shared" ref="D20:M20" si="10">D$4*D18</f>
        <v>0</v>
      </c>
      <c r="E20" s="52">
        <f t="shared" si="10"/>
        <v>0</v>
      </c>
      <c r="F20" s="52">
        <f t="shared" si="10"/>
        <v>0</v>
      </c>
      <c r="G20" s="52">
        <f t="shared" si="10"/>
        <v>0</v>
      </c>
      <c r="H20" s="52">
        <f t="shared" si="10"/>
        <v>0</v>
      </c>
      <c r="I20" s="52">
        <f t="shared" si="10"/>
        <v>0</v>
      </c>
      <c r="J20" s="52">
        <f t="shared" si="10"/>
        <v>0</v>
      </c>
      <c r="K20" s="52">
        <f t="shared" si="10"/>
        <v>0</v>
      </c>
      <c r="L20" s="52">
        <f t="shared" si="10"/>
        <v>0</v>
      </c>
      <c r="M20" s="52">
        <f t="shared" si="10"/>
        <v>0</v>
      </c>
      <c r="N20" s="52">
        <f>N$4*N18</f>
        <v>0</v>
      </c>
      <c r="O20" s="52">
        <f t="shared" ref="O20" si="11">O$4*O18</f>
        <v>0</v>
      </c>
    </row>
    <row r="21" spans="2:15" s="37" customFormat="1" ht="16">
      <c r="B21" s="58" t="s">
        <v>115</v>
      </c>
      <c r="C21" s="59"/>
      <c r="D21" s="60">
        <f t="shared" ref="D21:N21" si="12">SUM(D19:D20)</f>
        <v>0</v>
      </c>
      <c r="E21" s="60" t="e">
        <f t="shared" si="12"/>
        <v>#DIV/0!</v>
      </c>
      <c r="F21" s="60" t="e">
        <f t="shared" si="12"/>
        <v>#DIV/0!</v>
      </c>
      <c r="G21" s="60" t="e">
        <f t="shared" si="12"/>
        <v>#DIV/0!</v>
      </c>
      <c r="H21" s="60" t="e">
        <f t="shared" si="12"/>
        <v>#DIV/0!</v>
      </c>
      <c r="I21" s="60" t="e">
        <f t="shared" si="12"/>
        <v>#DIV/0!</v>
      </c>
      <c r="J21" s="60" t="e">
        <f t="shared" si="12"/>
        <v>#DIV/0!</v>
      </c>
      <c r="K21" s="60" t="e">
        <f t="shared" si="12"/>
        <v>#DIV/0!</v>
      </c>
      <c r="L21" s="60" t="e">
        <f t="shared" si="12"/>
        <v>#DIV/0!</v>
      </c>
      <c r="M21" s="60" t="e">
        <f t="shared" si="12"/>
        <v>#DIV/0!</v>
      </c>
      <c r="N21" s="60" t="e">
        <f t="shared" si="12"/>
        <v>#DIV/0!</v>
      </c>
      <c r="O21" s="60" t="e">
        <f t="shared" ref="O21" si="13">SUM(O19:O20)</f>
        <v>#DIV/0!</v>
      </c>
    </row>
    <row r="22" spans="2:15" s="37" customFormat="1">
      <c r="B22" s="51"/>
      <c r="C22" s="52"/>
      <c r="D22" s="52"/>
      <c r="E22" s="52"/>
      <c r="F22" s="52"/>
      <c r="G22" s="52"/>
      <c r="H22" s="52"/>
      <c r="I22" s="52"/>
      <c r="J22" s="52"/>
      <c r="K22" s="52"/>
      <c r="L22" s="52"/>
      <c r="M22" s="52"/>
      <c r="N22" s="52"/>
      <c r="O22" s="52"/>
    </row>
    <row r="23" spans="2:15" s="37" customFormat="1" ht="16">
      <c r="B23" s="51" t="s">
        <v>112</v>
      </c>
      <c r="C23" s="52"/>
      <c r="D23" s="52">
        <f>-D21-NPV(D15,D26:D29,(D30+D21))</f>
        <v>0</v>
      </c>
      <c r="E23" s="52" t="e">
        <f t="shared" ref="E23:N23" si="14">-E21-NPV(E15,E26:E29,(E30+E21))</f>
        <v>#DIV/0!</v>
      </c>
      <c r="F23" s="52" t="e">
        <f t="shared" si="14"/>
        <v>#DIV/0!</v>
      </c>
      <c r="G23" s="52" t="e">
        <f t="shared" si="14"/>
        <v>#DIV/0!</v>
      </c>
      <c r="H23" s="52" t="e">
        <f t="shared" si="14"/>
        <v>#DIV/0!</v>
      </c>
      <c r="I23" s="52" t="e">
        <f t="shared" si="14"/>
        <v>#DIV/0!</v>
      </c>
      <c r="J23" s="52" t="e">
        <f t="shared" si="14"/>
        <v>#DIV/0!</v>
      </c>
      <c r="K23" s="52" t="e">
        <f t="shared" si="14"/>
        <v>#DIV/0!</v>
      </c>
      <c r="L23" s="52" t="e">
        <f t="shared" si="14"/>
        <v>#DIV/0!</v>
      </c>
      <c r="M23" s="52" t="e">
        <f t="shared" si="14"/>
        <v>#DIV/0!</v>
      </c>
      <c r="N23" s="52" t="e">
        <f t="shared" si="14"/>
        <v>#DIV/0!</v>
      </c>
      <c r="O23" s="52" t="e">
        <f t="shared" ref="O23" si="15">-O21-NPV(O15,O26:O29,(O30+O21))</f>
        <v>#DIV/0!</v>
      </c>
    </row>
    <row r="24" spans="2:15" s="37" customFormat="1">
      <c r="B24" s="51"/>
    </row>
    <row r="25" spans="2:15" s="37" customFormat="1">
      <c r="B25" s="51">
        <v>0</v>
      </c>
      <c r="C25" s="52"/>
      <c r="D25" s="52"/>
      <c r="E25" s="52"/>
      <c r="F25" s="52"/>
      <c r="G25" s="52"/>
      <c r="H25" s="52"/>
      <c r="I25" s="52"/>
      <c r="J25" s="52"/>
      <c r="K25" s="52"/>
      <c r="L25" s="52"/>
      <c r="M25" s="52"/>
      <c r="N25" s="52"/>
      <c r="O25" s="52"/>
    </row>
    <row r="26" spans="2:15" s="37" customFormat="1">
      <c r="B26" s="51">
        <v>1</v>
      </c>
      <c r="C26" s="52"/>
      <c r="D26" s="52">
        <f>D$21*D$14</f>
        <v>0</v>
      </c>
      <c r="E26" s="52" t="e">
        <f t="shared" ref="E26:O26" si="16">E$21*E$14</f>
        <v>#DIV/0!</v>
      </c>
      <c r="F26" s="52" t="e">
        <f t="shared" si="16"/>
        <v>#DIV/0!</v>
      </c>
      <c r="G26" s="52" t="e">
        <f t="shared" si="16"/>
        <v>#DIV/0!</v>
      </c>
      <c r="H26" s="52" t="e">
        <f t="shared" si="16"/>
        <v>#DIV/0!</v>
      </c>
      <c r="I26" s="52" t="e">
        <f t="shared" si="16"/>
        <v>#DIV/0!</v>
      </c>
      <c r="J26" s="52" t="e">
        <f t="shared" si="16"/>
        <v>#DIV/0!</v>
      </c>
      <c r="K26" s="52" t="e">
        <f t="shared" si="16"/>
        <v>#DIV/0!</v>
      </c>
      <c r="L26" s="52" t="e">
        <f t="shared" si="16"/>
        <v>#DIV/0!</v>
      </c>
      <c r="M26" s="52" t="e">
        <f t="shared" si="16"/>
        <v>#DIV/0!</v>
      </c>
      <c r="N26" s="52" t="e">
        <f t="shared" si="16"/>
        <v>#DIV/0!</v>
      </c>
      <c r="O26" s="52" t="e">
        <f t="shared" si="16"/>
        <v>#DIV/0!</v>
      </c>
    </row>
    <row r="27" spans="2:15" s="37" customFormat="1">
      <c r="B27" s="51">
        <v>2</v>
      </c>
      <c r="C27" s="52"/>
      <c r="D27" s="52">
        <f t="shared" ref="D27:O30" si="17">-D$21*D$14</f>
        <v>0</v>
      </c>
      <c r="E27" s="52" t="e">
        <f t="shared" si="17"/>
        <v>#DIV/0!</v>
      </c>
      <c r="F27" s="52" t="e">
        <f t="shared" si="17"/>
        <v>#DIV/0!</v>
      </c>
      <c r="G27" s="52" t="e">
        <f t="shared" si="17"/>
        <v>#DIV/0!</v>
      </c>
      <c r="H27" s="52" t="e">
        <f t="shared" si="17"/>
        <v>#DIV/0!</v>
      </c>
      <c r="I27" s="52" t="e">
        <f t="shared" si="17"/>
        <v>#DIV/0!</v>
      </c>
      <c r="J27" s="52" t="e">
        <f t="shared" si="17"/>
        <v>#DIV/0!</v>
      </c>
      <c r="K27" s="52" t="e">
        <f t="shared" si="17"/>
        <v>#DIV/0!</v>
      </c>
      <c r="L27" s="52" t="e">
        <f t="shared" si="17"/>
        <v>#DIV/0!</v>
      </c>
      <c r="M27" s="52" t="e">
        <f t="shared" si="17"/>
        <v>#DIV/0!</v>
      </c>
      <c r="N27" s="52" t="e">
        <f t="shared" si="17"/>
        <v>#DIV/0!</v>
      </c>
      <c r="O27" s="52" t="e">
        <f t="shared" si="17"/>
        <v>#DIV/0!</v>
      </c>
    </row>
    <row r="28" spans="2:15" s="37" customFormat="1">
      <c r="B28" s="51">
        <v>3</v>
      </c>
      <c r="C28" s="52"/>
      <c r="D28" s="52">
        <f t="shared" si="17"/>
        <v>0</v>
      </c>
      <c r="E28" s="52" t="e">
        <f t="shared" si="17"/>
        <v>#DIV/0!</v>
      </c>
      <c r="F28" s="52" t="e">
        <f t="shared" si="17"/>
        <v>#DIV/0!</v>
      </c>
      <c r="G28" s="52" t="e">
        <f t="shared" si="17"/>
        <v>#DIV/0!</v>
      </c>
      <c r="H28" s="52" t="e">
        <f t="shared" si="17"/>
        <v>#DIV/0!</v>
      </c>
      <c r="I28" s="52" t="e">
        <f t="shared" si="17"/>
        <v>#DIV/0!</v>
      </c>
      <c r="J28" s="52" t="e">
        <f t="shared" si="17"/>
        <v>#DIV/0!</v>
      </c>
      <c r="K28" s="52" t="e">
        <f t="shared" si="17"/>
        <v>#DIV/0!</v>
      </c>
      <c r="L28" s="52" t="e">
        <f t="shared" si="17"/>
        <v>#DIV/0!</v>
      </c>
      <c r="M28" s="52" t="e">
        <f t="shared" si="17"/>
        <v>#DIV/0!</v>
      </c>
      <c r="N28" s="52" t="e">
        <f t="shared" si="17"/>
        <v>#DIV/0!</v>
      </c>
      <c r="O28" s="52" t="e">
        <f t="shared" si="17"/>
        <v>#DIV/0!</v>
      </c>
    </row>
    <row r="29" spans="2:15" s="37" customFormat="1">
      <c r="B29" s="51">
        <v>4</v>
      </c>
      <c r="C29" s="52"/>
      <c r="D29" s="52">
        <f t="shared" si="17"/>
        <v>0</v>
      </c>
      <c r="E29" s="52" t="e">
        <f t="shared" si="17"/>
        <v>#DIV/0!</v>
      </c>
      <c r="F29" s="52" t="e">
        <f t="shared" si="17"/>
        <v>#DIV/0!</v>
      </c>
      <c r="G29" s="52" t="e">
        <f t="shared" si="17"/>
        <v>#DIV/0!</v>
      </c>
      <c r="H29" s="52" t="e">
        <f t="shared" si="17"/>
        <v>#DIV/0!</v>
      </c>
      <c r="I29" s="52" t="e">
        <f t="shared" si="17"/>
        <v>#DIV/0!</v>
      </c>
      <c r="J29" s="52" t="e">
        <f t="shared" si="17"/>
        <v>#DIV/0!</v>
      </c>
      <c r="K29" s="52" t="e">
        <f t="shared" si="17"/>
        <v>#DIV/0!</v>
      </c>
      <c r="L29" s="52" t="e">
        <f t="shared" si="17"/>
        <v>#DIV/0!</v>
      </c>
      <c r="M29" s="52" t="e">
        <f t="shared" si="17"/>
        <v>#DIV/0!</v>
      </c>
      <c r="N29" s="52" t="e">
        <f t="shared" si="17"/>
        <v>#DIV/0!</v>
      </c>
      <c r="O29" s="52" t="e">
        <f t="shared" si="17"/>
        <v>#DIV/0!</v>
      </c>
    </row>
    <row r="30" spans="2:15" s="37" customFormat="1">
      <c r="B30" s="51">
        <v>5</v>
      </c>
      <c r="C30" s="52"/>
      <c r="D30" s="52">
        <f t="shared" si="17"/>
        <v>0</v>
      </c>
      <c r="E30" s="52" t="e">
        <f t="shared" si="17"/>
        <v>#DIV/0!</v>
      </c>
      <c r="F30" s="52" t="e">
        <f t="shared" si="17"/>
        <v>#DIV/0!</v>
      </c>
      <c r="G30" s="52" t="e">
        <f t="shared" si="17"/>
        <v>#DIV/0!</v>
      </c>
      <c r="H30" s="52" t="e">
        <f t="shared" si="17"/>
        <v>#DIV/0!</v>
      </c>
      <c r="I30" s="52" t="e">
        <f t="shared" si="17"/>
        <v>#DIV/0!</v>
      </c>
      <c r="J30" s="52" t="e">
        <f t="shared" si="17"/>
        <v>#DIV/0!</v>
      </c>
      <c r="K30" s="52" t="e">
        <f t="shared" si="17"/>
        <v>#DIV/0!</v>
      </c>
      <c r="L30" s="52" t="e">
        <f t="shared" si="17"/>
        <v>#DIV/0!</v>
      </c>
      <c r="M30" s="52" t="e">
        <f t="shared" si="17"/>
        <v>#DIV/0!</v>
      </c>
      <c r="N30" s="52" t="e">
        <f t="shared" si="17"/>
        <v>#DIV/0!</v>
      </c>
      <c r="O30" s="52" t="e">
        <f t="shared" si="17"/>
        <v>#DIV/0!</v>
      </c>
    </row>
    <row r="31" spans="2:15" s="37" customFormat="1">
      <c r="B31" s="51"/>
    </row>
    <row r="32" spans="2:15" s="37" customFormat="1" ht="16">
      <c r="B32" s="51" t="s">
        <v>113</v>
      </c>
      <c r="C32" s="52"/>
      <c r="D32" s="52"/>
      <c r="E32" s="52">
        <f>D26+C27</f>
        <v>0</v>
      </c>
      <c r="F32" s="52" t="e">
        <f>E26+D27+C28</f>
        <v>#DIV/0!</v>
      </c>
      <c r="G32" s="52" t="e">
        <f>F26+E27+D28+C29</f>
        <v>#DIV/0!</v>
      </c>
      <c r="H32" s="52" t="e">
        <f>G26+F27+E28+D29+C30</f>
        <v>#DIV/0!</v>
      </c>
      <c r="I32" s="52" t="e">
        <f t="shared" ref="I32:O32" si="18">H26+G27+F28+E29+D30</f>
        <v>#DIV/0!</v>
      </c>
      <c r="J32" s="52" t="e">
        <f t="shared" si="18"/>
        <v>#DIV/0!</v>
      </c>
      <c r="K32" s="52" t="e">
        <f t="shared" si="18"/>
        <v>#DIV/0!</v>
      </c>
      <c r="L32" s="52" t="e">
        <f t="shared" si="18"/>
        <v>#DIV/0!</v>
      </c>
      <c r="M32" s="52" t="e">
        <f t="shared" si="18"/>
        <v>#DIV/0!</v>
      </c>
      <c r="N32" s="52" t="e">
        <f t="shared" si="18"/>
        <v>#DIV/0!</v>
      </c>
      <c r="O32" s="52" t="e">
        <f t="shared" si="18"/>
        <v>#DIV/0!</v>
      </c>
    </row>
    <row r="33" spans="1:15" s="37" customFormat="1" ht="16">
      <c r="B33" s="51" t="s">
        <v>114</v>
      </c>
      <c r="C33" s="52"/>
      <c r="D33" s="52">
        <f t="shared" ref="D33:J33" si="19">D25</f>
        <v>0</v>
      </c>
      <c r="E33" s="52">
        <f t="shared" si="19"/>
        <v>0</v>
      </c>
      <c r="F33" s="52">
        <f t="shared" si="19"/>
        <v>0</v>
      </c>
      <c r="G33" s="52">
        <f t="shared" si="19"/>
        <v>0</v>
      </c>
      <c r="H33" s="52">
        <f t="shared" si="19"/>
        <v>0</v>
      </c>
      <c r="I33" s="52">
        <f t="shared" si="19"/>
        <v>0</v>
      </c>
      <c r="J33" s="52">
        <f t="shared" si="19"/>
        <v>0</v>
      </c>
      <c r="K33" s="52">
        <f>K25</f>
        <v>0</v>
      </c>
      <c r="L33" s="52">
        <f>L25</f>
        <v>0</v>
      </c>
      <c r="M33" s="52">
        <f>M25</f>
        <v>0</v>
      </c>
      <c r="N33" s="52">
        <f>N25</f>
        <v>0</v>
      </c>
      <c r="O33" s="52">
        <f>O25</f>
        <v>0</v>
      </c>
    </row>
    <row r="34" spans="1:15" s="37" customFormat="1">
      <c r="B34" s="51"/>
    </row>
    <row r="35" spans="1:15" s="37" customFormat="1">
      <c r="B35" s="49">
        <v>10</v>
      </c>
      <c r="C35" s="50">
        <v>2022</v>
      </c>
      <c r="D35" s="50">
        <v>2023</v>
      </c>
      <c r="E35" s="50">
        <v>2024</v>
      </c>
      <c r="F35" s="50">
        <v>2025</v>
      </c>
      <c r="G35" s="50">
        <v>2026</v>
      </c>
      <c r="H35" s="50">
        <v>2027</v>
      </c>
      <c r="I35" s="50">
        <v>2028</v>
      </c>
      <c r="J35" s="50">
        <v>2029</v>
      </c>
      <c r="K35" s="50">
        <v>2030</v>
      </c>
      <c r="L35" s="50">
        <v>2031</v>
      </c>
      <c r="M35" s="50">
        <v>2032</v>
      </c>
      <c r="N35" s="50">
        <v>2033</v>
      </c>
      <c r="O35" s="50">
        <v>2034</v>
      </c>
    </row>
    <row r="36" spans="1:15" s="37" customFormat="1" ht="16">
      <c r="B36" s="51" t="s">
        <v>105</v>
      </c>
      <c r="C36" s="54"/>
      <c r="D36" s="54">
        <f>Supuestos!F35</f>
        <v>0</v>
      </c>
      <c r="E36" s="54">
        <f>Supuestos!G35</f>
        <v>0</v>
      </c>
      <c r="F36" s="54">
        <f>Supuestos!H35</f>
        <v>0</v>
      </c>
      <c r="G36" s="54">
        <f>Supuestos!I35</f>
        <v>0</v>
      </c>
      <c r="H36" s="54">
        <f>Supuestos!J35</f>
        <v>0</v>
      </c>
      <c r="I36" s="54">
        <f>Supuestos!K35</f>
        <v>0</v>
      </c>
      <c r="J36" s="54">
        <f>Supuestos!L35</f>
        <v>0</v>
      </c>
      <c r="K36" s="54">
        <f>Supuestos!M35</f>
        <v>0</v>
      </c>
      <c r="L36" s="54">
        <f>Supuestos!N35</f>
        <v>0</v>
      </c>
      <c r="M36" s="54">
        <f>Supuestos!O35</f>
        <v>0</v>
      </c>
      <c r="N36" s="54">
        <f>Supuestos!P35</f>
        <v>0</v>
      </c>
      <c r="O36" s="54">
        <f>Supuestos!Q35</f>
        <v>0</v>
      </c>
    </row>
    <row r="37" spans="1:15" s="37" customFormat="1" ht="16">
      <c r="B37" s="51" t="s">
        <v>89</v>
      </c>
      <c r="C37" s="61"/>
      <c r="D37" s="61">
        <f>Supuestos!F36</f>
        <v>0</v>
      </c>
      <c r="E37" s="61">
        <f>Supuestos!G36</f>
        <v>0</v>
      </c>
      <c r="F37" s="61">
        <f>Supuestos!H36</f>
        <v>0</v>
      </c>
      <c r="G37" s="61">
        <f>Supuestos!I36</f>
        <v>0</v>
      </c>
      <c r="H37" s="61">
        <f>Supuestos!J36</f>
        <v>0</v>
      </c>
      <c r="I37" s="61">
        <f>Supuestos!K36</f>
        <v>0</v>
      </c>
      <c r="J37" s="61">
        <f>Supuestos!L36</f>
        <v>0</v>
      </c>
      <c r="K37" s="61">
        <f>Supuestos!M36</f>
        <v>0</v>
      </c>
      <c r="L37" s="61">
        <f>Supuestos!N36</f>
        <v>0</v>
      </c>
      <c r="M37" s="61">
        <f>Supuestos!O36</f>
        <v>0</v>
      </c>
      <c r="N37" s="61">
        <f>Supuestos!P36</f>
        <v>0</v>
      </c>
      <c r="O37" s="61">
        <f>Supuestos!Q36</f>
        <v>0</v>
      </c>
    </row>
    <row r="38" spans="1:15" s="37" customFormat="1" ht="16">
      <c r="B38" s="51" t="s">
        <v>90</v>
      </c>
      <c r="C38" s="55"/>
      <c r="D38" s="55">
        <f>Supuestos!F37</f>
        <v>10</v>
      </c>
      <c r="E38" s="55">
        <f>Supuestos!G37</f>
        <v>10</v>
      </c>
      <c r="F38" s="55">
        <f>Supuestos!H37</f>
        <v>10</v>
      </c>
      <c r="G38" s="55">
        <f>Supuestos!I37</f>
        <v>10</v>
      </c>
      <c r="H38" s="55">
        <f>Supuestos!J37</f>
        <v>10</v>
      </c>
      <c r="I38" s="55">
        <f>Supuestos!K37</f>
        <v>10</v>
      </c>
      <c r="J38" s="55">
        <f>Supuestos!L37</f>
        <v>10</v>
      </c>
      <c r="K38" s="55">
        <f>Supuestos!M37</f>
        <v>10</v>
      </c>
      <c r="L38" s="55">
        <f>Supuestos!N37</f>
        <v>10</v>
      </c>
      <c r="M38" s="55">
        <f>Supuestos!O37</f>
        <v>10</v>
      </c>
      <c r="N38" s="55">
        <f>Supuestos!P37</f>
        <v>10</v>
      </c>
      <c r="O38" s="55">
        <f>Supuestos!Q37</f>
        <v>10</v>
      </c>
    </row>
    <row r="39" spans="1:15" s="37" customFormat="1" ht="16">
      <c r="B39" s="51" t="s">
        <v>79</v>
      </c>
      <c r="C39" s="55"/>
      <c r="D39" s="55">
        <f t="shared" ref="D39:N39" si="20">D35+D38</f>
        <v>2033</v>
      </c>
      <c r="E39" s="55">
        <f t="shared" si="20"/>
        <v>2034</v>
      </c>
      <c r="F39" s="55">
        <f t="shared" si="20"/>
        <v>2035</v>
      </c>
      <c r="G39" s="55">
        <f t="shared" si="20"/>
        <v>2036</v>
      </c>
      <c r="H39" s="55">
        <f t="shared" si="20"/>
        <v>2037</v>
      </c>
      <c r="I39" s="55">
        <f t="shared" si="20"/>
        <v>2038</v>
      </c>
      <c r="J39" s="55">
        <f t="shared" si="20"/>
        <v>2039</v>
      </c>
      <c r="K39" s="55">
        <f t="shared" si="20"/>
        <v>2040</v>
      </c>
      <c r="L39" s="55">
        <f t="shared" si="20"/>
        <v>2041</v>
      </c>
      <c r="M39" s="55">
        <f t="shared" si="20"/>
        <v>2042</v>
      </c>
      <c r="N39" s="55">
        <f t="shared" si="20"/>
        <v>2043</v>
      </c>
      <c r="O39" s="55">
        <f t="shared" ref="O39" si="21">O35+O38</f>
        <v>2044</v>
      </c>
    </row>
    <row r="40" spans="1:15" s="37" customFormat="1" ht="16">
      <c r="B40" s="51" t="s">
        <v>107</v>
      </c>
      <c r="C40" s="61"/>
      <c r="D40" s="61">
        <f>Supuestos!F27</f>
        <v>0</v>
      </c>
      <c r="E40" s="61">
        <f>Supuestos!G27</f>
        <v>0</v>
      </c>
      <c r="F40" s="61">
        <f>Supuestos!H27</f>
        <v>0</v>
      </c>
      <c r="G40" s="61">
        <f>Supuestos!I27</f>
        <v>0</v>
      </c>
      <c r="H40" s="61">
        <f>Supuestos!J27</f>
        <v>0</v>
      </c>
      <c r="I40" s="61">
        <f>Supuestos!K27</f>
        <v>0</v>
      </c>
      <c r="J40" s="61">
        <f>Supuestos!L27</f>
        <v>0</v>
      </c>
      <c r="K40" s="61">
        <f>Supuestos!M27</f>
        <v>0</v>
      </c>
      <c r="L40" s="61">
        <f>Supuestos!N27</f>
        <v>0</v>
      </c>
      <c r="M40" s="61">
        <f>Supuestos!O27</f>
        <v>0</v>
      </c>
      <c r="N40" s="61">
        <f>Supuestos!P27</f>
        <v>0</v>
      </c>
      <c r="O40" s="61">
        <f>Supuestos!Q27</f>
        <v>0</v>
      </c>
    </row>
    <row r="41" spans="1:15" s="37" customFormat="1" ht="16">
      <c r="B41" s="51" t="s">
        <v>301</v>
      </c>
      <c r="C41" s="57"/>
      <c r="D41" s="57">
        <f t="shared" ref="D41:M41" si="22">D$3*D40</f>
        <v>0</v>
      </c>
      <c r="E41" s="57" t="e">
        <f t="shared" si="22"/>
        <v>#DIV/0!</v>
      </c>
      <c r="F41" s="57" t="e">
        <f t="shared" si="22"/>
        <v>#DIV/0!</v>
      </c>
      <c r="G41" s="57" t="e">
        <f t="shared" si="22"/>
        <v>#DIV/0!</v>
      </c>
      <c r="H41" s="57" t="e">
        <f t="shared" si="22"/>
        <v>#DIV/0!</v>
      </c>
      <c r="I41" s="57" t="e">
        <f t="shared" si="22"/>
        <v>#DIV/0!</v>
      </c>
      <c r="J41" s="57" t="e">
        <f t="shared" si="22"/>
        <v>#DIV/0!</v>
      </c>
      <c r="K41" s="57" t="e">
        <f t="shared" si="22"/>
        <v>#DIV/0!</v>
      </c>
      <c r="L41" s="57" t="e">
        <f t="shared" si="22"/>
        <v>#DIV/0!</v>
      </c>
      <c r="M41" s="57" t="e">
        <f t="shared" si="22"/>
        <v>#DIV/0!</v>
      </c>
      <c r="N41" s="57" t="e">
        <f>N$3*N40</f>
        <v>#DIV/0!</v>
      </c>
      <c r="O41" s="57" t="e">
        <f t="shared" ref="O41" si="23">O$3*O40</f>
        <v>#DIV/0!</v>
      </c>
    </row>
    <row r="42" spans="1:15" s="37" customFormat="1" ht="16">
      <c r="B42" s="51" t="s">
        <v>40</v>
      </c>
      <c r="C42" s="57"/>
      <c r="D42" s="57">
        <f t="shared" ref="D42:M42" si="24">D$4*D40</f>
        <v>0</v>
      </c>
      <c r="E42" s="57">
        <f t="shared" si="24"/>
        <v>0</v>
      </c>
      <c r="F42" s="57">
        <f t="shared" si="24"/>
        <v>0</v>
      </c>
      <c r="G42" s="57">
        <f t="shared" si="24"/>
        <v>0</v>
      </c>
      <c r="H42" s="57">
        <f t="shared" si="24"/>
        <v>0</v>
      </c>
      <c r="I42" s="57">
        <f t="shared" si="24"/>
        <v>0</v>
      </c>
      <c r="J42" s="57">
        <f t="shared" si="24"/>
        <v>0</v>
      </c>
      <c r="K42" s="57">
        <f t="shared" si="24"/>
        <v>0</v>
      </c>
      <c r="L42" s="57">
        <f t="shared" si="24"/>
        <v>0</v>
      </c>
      <c r="M42" s="57">
        <f t="shared" si="24"/>
        <v>0</v>
      </c>
      <c r="N42" s="57">
        <f>N$4*N40</f>
        <v>0</v>
      </c>
      <c r="O42" s="57">
        <f t="shared" ref="O42" si="25">O$4*O40</f>
        <v>0</v>
      </c>
    </row>
    <row r="43" spans="1:15" s="37" customFormat="1" ht="16">
      <c r="A43" s="35"/>
      <c r="B43" s="58" t="s">
        <v>115</v>
      </c>
      <c r="C43" s="59"/>
      <c r="D43" s="59">
        <f t="shared" ref="D43:N43" si="26">SUM(D41:D42)</f>
        <v>0</v>
      </c>
      <c r="E43" s="59" t="e">
        <f t="shared" si="26"/>
        <v>#DIV/0!</v>
      </c>
      <c r="F43" s="59" t="e">
        <f t="shared" si="26"/>
        <v>#DIV/0!</v>
      </c>
      <c r="G43" s="59" t="e">
        <f t="shared" si="26"/>
        <v>#DIV/0!</v>
      </c>
      <c r="H43" s="59" t="e">
        <f t="shared" si="26"/>
        <v>#DIV/0!</v>
      </c>
      <c r="I43" s="59" t="e">
        <f t="shared" si="26"/>
        <v>#DIV/0!</v>
      </c>
      <c r="J43" s="59" t="e">
        <f t="shared" si="26"/>
        <v>#DIV/0!</v>
      </c>
      <c r="K43" s="59" t="e">
        <f t="shared" si="26"/>
        <v>#DIV/0!</v>
      </c>
      <c r="L43" s="59" t="e">
        <f t="shared" si="26"/>
        <v>#DIV/0!</v>
      </c>
      <c r="M43" s="59" t="e">
        <f t="shared" si="26"/>
        <v>#DIV/0!</v>
      </c>
      <c r="N43" s="59" t="e">
        <f t="shared" si="26"/>
        <v>#DIV/0!</v>
      </c>
      <c r="O43" s="59" t="e">
        <f t="shared" ref="O43" si="27">SUM(O41:O42)</f>
        <v>#DIV/0!</v>
      </c>
    </row>
    <row r="44" spans="1:15" s="37" customFormat="1">
      <c r="B44" s="51"/>
      <c r="C44" s="52"/>
      <c r="D44" s="52"/>
      <c r="E44" s="52"/>
      <c r="F44" s="52"/>
      <c r="G44" s="52"/>
      <c r="H44" s="52"/>
      <c r="I44" s="52"/>
      <c r="J44" s="52"/>
      <c r="K44" s="52"/>
      <c r="L44" s="52"/>
      <c r="M44" s="52"/>
      <c r="N44" s="52"/>
      <c r="O44" s="52"/>
    </row>
    <row r="45" spans="1:15" s="37" customFormat="1" ht="16">
      <c r="B45" s="51" t="s">
        <v>112</v>
      </c>
      <c r="C45" s="52"/>
      <c r="D45" s="52">
        <f>NPV(D37,D48:D56,(D57+D43))-D43</f>
        <v>0</v>
      </c>
      <c r="E45" s="52" t="e">
        <f t="shared" ref="E45:N45" si="28">NPV(E37,E48:E56,(E57+E43))-E43</f>
        <v>#DIV/0!</v>
      </c>
      <c r="F45" s="52" t="e">
        <f t="shared" si="28"/>
        <v>#DIV/0!</v>
      </c>
      <c r="G45" s="52" t="e">
        <f t="shared" si="28"/>
        <v>#DIV/0!</v>
      </c>
      <c r="H45" s="52" t="e">
        <f t="shared" si="28"/>
        <v>#DIV/0!</v>
      </c>
      <c r="I45" s="52" t="e">
        <f t="shared" si="28"/>
        <v>#DIV/0!</v>
      </c>
      <c r="J45" s="52" t="e">
        <f t="shared" si="28"/>
        <v>#DIV/0!</v>
      </c>
      <c r="K45" s="52" t="e">
        <f t="shared" si="28"/>
        <v>#DIV/0!</v>
      </c>
      <c r="L45" s="52" t="e">
        <f t="shared" si="28"/>
        <v>#DIV/0!</v>
      </c>
      <c r="M45" s="52" t="e">
        <f t="shared" si="28"/>
        <v>#DIV/0!</v>
      </c>
      <c r="N45" s="52" t="e">
        <f t="shared" si="28"/>
        <v>#DIV/0!</v>
      </c>
      <c r="O45" s="52" t="e">
        <f t="shared" ref="O45" si="29">NPV(O37,O48:O56,(O57+O43))-O43</f>
        <v>#DIV/0!</v>
      </c>
    </row>
    <row r="46" spans="1:15" s="37" customFormat="1">
      <c r="B46" s="62"/>
      <c r="D46" s="59"/>
      <c r="E46" s="171"/>
      <c r="F46" s="171"/>
      <c r="G46" s="171"/>
      <c r="H46" s="171"/>
      <c r="I46" s="171"/>
      <c r="J46" s="171"/>
      <c r="K46" s="171"/>
      <c r="L46" s="171"/>
      <c r="M46" s="171"/>
      <c r="N46" s="171"/>
      <c r="O46" s="171"/>
    </row>
    <row r="47" spans="1:15" s="37" customFormat="1">
      <c r="B47" s="51">
        <v>0</v>
      </c>
      <c r="C47" s="52"/>
      <c r="D47" s="59"/>
      <c r="E47" s="171"/>
      <c r="F47" s="171"/>
      <c r="G47" s="171"/>
      <c r="H47" s="171"/>
      <c r="I47" s="171"/>
      <c r="J47" s="171"/>
      <c r="K47" s="171"/>
      <c r="L47" s="171"/>
      <c r="M47" s="171"/>
      <c r="N47" s="171"/>
      <c r="O47" s="171"/>
    </row>
    <row r="48" spans="1:15" s="37" customFormat="1">
      <c r="B48" s="51">
        <v>1</v>
      </c>
      <c r="C48" s="52"/>
      <c r="D48" s="52">
        <f>D$43*D$36</f>
        <v>0</v>
      </c>
      <c r="E48" s="52" t="e">
        <f>E$43*E$36</f>
        <v>#DIV/0!</v>
      </c>
      <c r="F48" s="52" t="e">
        <f t="shared" ref="F48:O48" si="30">F$43*F$36</f>
        <v>#DIV/0!</v>
      </c>
      <c r="G48" s="52" t="e">
        <f t="shared" si="30"/>
        <v>#DIV/0!</v>
      </c>
      <c r="H48" s="52" t="e">
        <f t="shared" si="30"/>
        <v>#DIV/0!</v>
      </c>
      <c r="I48" s="52" t="e">
        <f t="shared" si="30"/>
        <v>#DIV/0!</v>
      </c>
      <c r="J48" s="52" t="e">
        <f t="shared" si="30"/>
        <v>#DIV/0!</v>
      </c>
      <c r="K48" s="52" t="e">
        <f t="shared" si="30"/>
        <v>#DIV/0!</v>
      </c>
      <c r="L48" s="52" t="e">
        <f t="shared" si="30"/>
        <v>#DIV/0!</v>
      </c>
      <c r="M48" s="52" t="e">
        <f t="shared" si="30"/>
        <v>#DIV/0!</v>
      </c>
      <c r="N48" s="52" t="e">
        <f t="shared" si="30"/>
        <v>#DIV/0!</v>
      </c>
      <c r="O48" s="52" t="e">
        <f t="shared" si="30"/>
        <v>#DIV/0!</v>
      </c>
    </row>
    <row r="49" spans="2:15" s="37" customFormat="1">
      <c r="B49" s="51">
        <v>2</v>
      </c>
      <c r="C49" s="52"/>
      <c r="D49" s="52">
        <f t="shared" ref="D49:O57" si="31">D$43*D$36</f>
        <v>0</v>
      </c>
      <c r="E49" s="52" t="e">
        <f t="shared" si="31"/>
        <v>#DIV/0!</v>
      </c>
      <c r="F49" s="52" t="e">
        <f t="shared" si="31"/>
        <v>#DIV/0!</v>
      </c>
      <c r="G49" s="52" t="e">
        <f t="shared" si="31"/>
        <v>#DIV/0!</v>
      </c>
      <c r="H49" s="52" t="e">
        <f t="shared" si="31"/>
        <v>#DIV/0!</v>
      </c>
      <c r="I49" s="52" t="e">
        <f t="shared" si="31"/>
        <v>#DIV/0!</v>
      </c>
      <c r="J49" s="52" t="e">
        <f t="shared" si="31"/>
        <v>#DIV/0!</v>
      </c>
      <c r="K49" s="52" t="e">
        <f t="shared" si="31"/>
        <v>#DIV/0!</v>
      </c>
      <c r="L49" s="52" t="e">
        <f t="shared" si="31"/>
        <v>#DIV/0!</v>
      </c>
      <c r="M49" s="52" t="e">
        <f t="shared" si="31"/>
        <v>#DIV/0!</v>
      </c>
      <c r="N49" s="52" t="e">
        <f t="shared" si="31"/>
        <v>#DIV/0!</v>
      </c>
      <c r="O49" s="52" t="e">
        <f t="shared" si="31"/>
        <v>#DIV/0!</v>
      </c>
    </row>
    <row r="50" spans="2:15" s="37" customFormat="1">
      <c r="B50" s="51">
        <v>3</v>
      </c>
      <c r="C50" s="52"/>
      <c r="D50" s="52">
        <f t="shared" si="31"/>
        <v>0</v>
      </c>
      <c r="E50" s="52" t="e">
        <f t="shared" si="31"/>
        <v>#DIV/0!</v>
      </c>
      <c r="F50" s="52" t="e">
        <f t="shared" si="31"/>
        <v>#DIV/0!</v>
      </c>
      <c r="G50" s="52" t="e">
        <f t="shared" si="31"/>
        <v>#DIV/0!</v>
      </c>
      <c r="H50" s="52" t="e">
        <f t="shared" si="31"/>
        <v>#DIV/0!</v>
      </c>
      <c r="I50" s="52" t="e">
        <f t="shared" si="31"/>
        <v>#DIV/0!</v>
      </c>
      <c r="J50" s="52" t="e">
        <f t="shared" si="31"/>
        <v>#DIV/0!</v>
      </c>
      <c r="K50" s="52" t="e">
        <f t="shared" si="31"/>
        <v>#DIV/0!</v>
      </c>
      <c r="L50" s="52" t="e">
        <f t="shared" si="31"/>
        <v>#DIV/0!</v>
      </c>
      <c r="M50" s="52" t="e">
        <f t="shared" si="31"/>
        <v>#DIV/0!</v>
      </c>
      <c r="N50" s="52" t="e">
        <f t="shared" si="31"/>
        <v>#DIV/0!</v>
      </c>
      <c r="O50" s="52" t="e">
        <f t="shared" si="31"/>
        <v>#DIV/0!</v>
      </c>
    </row>
    <row r="51" spans="2:15" s="37" customFormat="1">
      <c r="B51" s="51">
        <v>4</v>
      </c>
      <c r="C51" s="52"/>
      <c r="D51" s="52">
        <f t="shared" si="31"/>
        <v>0</v>
      </c>
      <c r="E51" s="52" t="e">
        <f t="shared" si="31"/>
        <v>#DIV/0!</v>
      </c>
      <c r="F51" s="52" t="e">
        <f t="shared" si="31"/>
        <v>#DIV/0!</v>
      </c>
      <c r="G51" s="52" t="e">
        <f t="shared" si="31"/>
        <v>#DIV/0!</v>
      </c>
      <c r="H51" s="52" t="e">
        <f t="shared" si="31"/>
        <v>#DIV/0!</v>
      </c>
      <c r="I51" s="52" t="e">
        <f t="shared" si="31"/>
        <v>#DIV/0!</v>
      </c>
      <c r="J51" s="52" t="e">
        <f t="shared" si="31"/>
        <v>#DIV/0!</v>
      </c>
      <c r="K51" s="52" t="e">
        <f t="shared" si="31"/>
        <v>#DIV/0!</v>
      </c>
      <c r="L51" s="52" t="e">
        <f t="shared" si="31"/>
        <v>#DIV/0!</v>
      </c>
      <c r="M51" s="52" t="e">
        <f t="shared" si="31"/>
        <v>#DIV/0!</v>
      </c>
      <c r="N51" s="52" t="e">
        <f t="shared" si="31"/>
        <v>#DIV/0!</v>
      </c>
      <c r="O51" s="52" t="e">
        <f t="shared" si="31"/>
        <v>#DIV/0!</v>
      </c>
    </row>
    <row r="52" spans="2:15" s="37" customFormat="1">
      <c r="B52" s="51">
        <v>5</v>
      </c>
      <c r="C52" s="52"/>
      <c r="D52" s="52">
        <f t="shared" si="31"/>
        <v>0</v>
      </c>
      <c r="E52" s="52" t="e">
        <f t="shared" si="31"/>
        <v>#DIV/0!</v>
      </c>
      <c r="F52" s="52" t="e">
        <f t="shared" si="31"/>
        <v>#DIV/0!</v>
      </c>
      <c r="G52" s="52" t="e">
        <f t="shared" si="31"/>
        <v>#DIV/0!</v>
      </c>
      <c r="H52" s="52" t="e">
        <f t="shared" si="31"/>
        <v>#DIV/0!</v>
      </c>
      <c r="I52" s="52" t="e">
        <f t="shared" si="31"/>
        <v>#DIV/0!</v>
      </c>
      <c r="J52" s="52" t="e">
        <f t="shared" si="31"/>
        <v>#DIV/0!</v>
      </c>
      <c r="K52" s="52" t="e">
        <f t="shared" si="31"/>
        <v>#DIV/0!</v>
      </c>
      <c r="L52" s="52" t="e">
        <f t="shared" si="31"/>
        <v>#DIV/0!</v>
      </c>
      <c r="M52" s="52" t="e">
        <f t="shared" si="31"/>
        <v>#DIV/0!</v>
      </c>
      <c r="N52" s="52" t="e">
        <f t="shared" si="31"/>
        <v>#DIV/0!</v>
      </c>
      <c r="O52" s="52" t="e">
        <f t="shared" si="31"/>
        <v>#DIV/0!</v>
      </c>
    </row>
    <row r="53" spans="2:15" s="37" customFormat="1">
      <c r="B53" s="51">
        <v>6</v>
      </c>
      <c r="C53" s="52"/>
      <c r="D53" s="52">
        <f t="shared" si="31"/>
        <v>0</v>
      </c>
      <c r="E53" s="52" t="e">
        <f t="shared" si="31"/>
        <v>#DIV/0!</v>
      </c>
      <c r="F53" s="52" t="e">
        <f t="shared" si="31"/>
        <v>#DIV/0!</v>
      </c>
      <c r="G53" s="52" t="e">
        <f t="shared" si="31"/>
        <v>#DIV/0!</v>
      </c>
      <c r="H53" s="52" t="e">
        <f t="shared" si="31"/>
        <v>#DIV/0!</v>
      </c>
      <c r="I53" s="52" t="e">
        <f t="shared" si="31"/>
        <v>#DIV/0!</v>
      </c>
      <c r="J53" s="52" t="e">
        <f t="shared" si="31"/>
        <v>#DIV/0!</v>
      </c>
      <c r="K53" s="52" t="e">
        <f t="shared" si="31"/>
        <v>#DIV/0!</v>
      </c>
      <c r="L53" s="52" t="e">
        <f t="shared" si="31"/>
        <v>#DIV/0!</v>
      </c>
      <c r="M53" s="52" t="e">
        <f t="shared" si="31"/>
        <v>#DIV/0!</v>
      </c>
      <c r="N53" s="52" t="e">
        <f t="shared" si="31"/>
        <v>#DIV/0!</v>
      </c>
      <c r="O53" s="52" t="e">
        <f t="shared" si="31"/>
        <v>#DIV/0!</v>
      </c>
    </row>
    <row r="54" spans="2:15" s="37" customFormat="1">
      <c r="B54" s="51">
        <v>7</v>
      </c>
      <c r="C54" s="52"/>
      <c r="D54" s="52">
        <f t="shared" si="31"/>
        <v>0</v>
      </c>
      <c r="E54" s="52" t="e">
        <f t="shared" si="31"/>
        <v>#DIV/0!</v>
      </c>
      <c r="F54" s="52" t="e">
        <f t="shared" si="31"/>
        <v>#DIV/0!</v>
      </c>
      <c r="G54" s="52" t="e">
        <f t="shared" si="31"/>
        <v>#DIV/0!</v>
      </c>
      <c r="H54" s="52" t="e">
        <f t="shared" si="31"/>
        <v>#DIV/0!</v>
      </c>
      <c r="I54" s="52" t="e">
        <f t="shared" si="31"/>
        <v>#DIV/0!</v>
      </c>
      <c r="J54" s="52" t="e">
        <f t="shared" si="31"/>
        <v>#DIV/0!</v>
      </c>
      <c r="K54" s="52" t="e">
        <f t="shared" si="31"/>
        <v>#DIV/0!</v>
      </c>
      <c r="L54" s="52" t="e">
        <f t="shared" si="31"/>
        <v>#DIV/0!</v>
      </c>
      <c r="M54" s="52" t="e">
        <f t="shared" si="31"/>
        <v>#DIV/0!</v>
      </c>
      <c r="N54" s="52" t="e">
        <f t="shared" si="31"/>
        <v>#DIV/0!</v>
      </c>
      <c r="O54" s="52" t="e">
        <f t="shared" si="31"/>
        <v>#DIV/0!</v>
      </c>
    </row>
    <row r="55" spans="2:15" s="37" customFormat="1">
      <c r="B55" s="51">
        <v>8</v>
      </c>
      <c r="C55" s="52"/>
      <c r="D55" s="52">
        <f t="shared" si="31"/>
        <v>0</v>
      </c>
      <c r="E55" s="52" t="e">
        <f t="shared" si="31"/>
        <v>#DIV/0!</v>
      </c>
      <c r="F55" s="52" t="e">
        <f t="shared" si="31"/>
        <v>#DIV/0!</v>
      </c>
      <c r="G55" s="52" t="e">
        <f t="shared" si="31"/>
        <v>#DIV/0!</v>
      </c>
      <c r="H55" s="52" t="e">
        <f t="shared" si="31"/>
        <v>#DIV/0!</v>
      </c>
      <c r="I55" s="52" t="e">
        <f t="shared" si="31"/>
        <v>#DIV/0!</v>
      </c>
      <c r="J55" s="52" t="e">
        <f t="shared" si="31"/>
        <v>#DIV/0!</v>
      </c>
      <c r="K55" s="52" t="e">
        <f t="shared" si="31"/>
        <v>#DIV/0!</v>
      </c>
      <c r="L55" s="52" t="e">
        <f t="shared" si="31"/>
        <v>#DIV/0!</v>
      </c>
      <c r="M55" s="52" t="e">
        <f t="shared" si="31"/>
        <v>#DIV/0!</v>
      </c>
      <c r="N55" s="52" t="e">
        <f t="shared" si="31"/>
        <v>#DIV/0!</v>
      </c>
      <c r="O55" s="52" t="e">
        <f t="shared" si="31"/>
        <v>#DIV/0!</v>
      </c>
    </row>
    <row r="56" spans="2:15" s="37" customFormat="1">
      <c r="B56" s="51">
        <v>9</v>
      </c>
      <c r="C56" s="52"/>
      <c r="D56" s="52">
        <f t="shared" si="31"/>
        <v>0</v>
      </c>
      <c r="E56" s="52" t="e">
        <f t="shared" si="31"/>
        <v>#DIV/0!</v>
      </c>
      <c r="F56" s="52" t="e">
        <f t="shared" si="31"/>
        <v>#DIV/0!</v>
      </c>
      <c r="G56" s="52" t="e">
        <f t="shared" si="31"/>
        <v>#DIV/0!</v>
      </c>
      <c r="H56" s="52" t="e">
        <f t="shared" si="31"/>
        <v>#DIV/0!</v>
      </c>
      <c r="I56" s="52" t="e">
        <f t="shared" si="31"/>
        <v>#DIV/0!</v>
      </c>
      <c r="J56" s="52" t="e">
        <f t="shared" si="31"/>
        <v>#DIV/0!</v>
      </c>
      <c r="K56" s="52" t="e">
        <f t="shared" si="31"/>
        <v>#DIV/0!</v>
      </c>
      <c r="L56" s="52" t="e">
        <f t="shared" si="31"/>
        <v>#DIV/0!</v>
      </c>
      <c r="M56" s="52" t="e">
        <f t="shared" si="31"/>
        <v>#DIV/0!</v>
      </c>
      <c r="N56" s="52" t="e">
        <f t="shared" si="31"/>
        <v>#DIV/0!</v>
      </c>
      <c r="O56" s="52" t="e">
        <f t="shared" si="31"/>
        <v>#DIV/0!</v>
      </c>
    </row>
    <row r="57" spans="2:15" s="37" customFormat="1">
      <c r="B57" s="51">
        <v>10</v>
      </c>
      <c r="C57" s="52"/>
      <c r="D57" s="52">
        <f t="shared" si="31"/>
        <v>0</v>
      </c>
      <c r="E57" s="52" t="e">
        <f t="shared" si="31"/>
        <v>#DIV/0!</v>
      </c>
      <c r="F57" s="52" t="e">
        <f t="shared" si="31"/>
        <v>#DIV/0!</v>
      </c>
      <c r="G57" s="52" t="e">
        <f t="shared" si="31"/>
        <v>#DIV/0!</v>
      </c>
      <c r="H57" s="52" t="e">
        <f t="shared" si="31"/>
        <v>#DIV/0!</v>
      </c>
      <c r="I57" s="52" t="e">
        <f t="shared" si="31"/>
        <v>#DIV/0!</v>
      </c>
      <c r="J57" s="52" t="e">
        <f t="shared" si="31"/>
        <v>#DIV/0!</v>
      </c>
      <c r="K57" s="52" t="e">
        <f t="shared" si="31"/>
        <v>#DIV/0!</v>
      </c>
      <c r="L57" s="52" t="e">
        <f t="shared" si="31"/>
        <v>#DIV/0!</v>
      </c>
      <c r="M57" s="52" t="e">
        <f t="shared" si="31"/>
        <v>#DIV/0!</v>
      </c>
      <c r="N57" s="52" t="e">
        <f t="shared" si="31"/>
        <v>#DIV/0!</v>
      </c>
      <c r="O57" s="52" t="e">
        <f t="shared" si="31"/>
        <v>#DIV/0!</v>
      </c>
    </row>
    <row r="58" spans="2:15" s="37" customFormat="1">
      <c r="B58" s="51"/>
    </row>
    <row r="59" spans="2:15" s="37" customFormat="1" ht="16">
      <c r="B59" s="51" t="s">
        <v>113</v>
      </c>
      <c r="C59" s="52"/>
      <c r="D59" s="52"/>
      <c r="E59" s="52">
        <f>D48+C49</f>
        <v>0</v>
      </c>
      <c r="F59" s="52" t="e">
        <f>E48+D49+C50</f>
        <v>#DIV/0!</v>
      </c>
      <c r="G59" s="52" t="e">
        <f>F48+E49+D50+C51</f>
        <v>#DIV/0!</v>
      </c>
      <c r="H59" s="52" t="e">
        <f>G48+F49+E50+D51+C52</f>
        <v>#DIV/0!</v>
      </c>
      <c r="I59" s="52" t="e">
        <f>H48+G49+F50+E51+D52+C53</f>
        <v>#DIV/0!</v>
      </c>
      <c r="J59" s="52" t="e">
        <f>I48+H49+G50+F51+E52+D53+C54</f>
        <v>#DIV/0!</v>
      </c>
      <c r="K59" s="52" t="e">
        <f>J48+I49+H50+G51+F52+E53+D54+C55</f>
        <v>#DIV/0!</v>
      </c>
      <c r="L59" s="52" t="e">
        <f>K48+J49+I50+H51+G52+F53+E54+D55+C56</f>
        <v>#DIV/0!</v>
      </c>
      <c r="M59" s="52" t="e">
        <f>L48+K49+J50+I51+H52+G53+F54+E55+D56+C57</f>
        <v>#DIV/0!</v>
      </c>
      <c r="N59" s="52" t="e">
        <f>M48+L49+K50+J51+I52+H53+G54+F55+E56+D57</f>
        <v>#DIV/0!</v>
      </c>
      <c r="O59" s="52" t="e">
        <f>N48+M49+L50+K51+J52+I53+H54+G55+F56+E57</f>
        <v>#DIV/0!</v>
      </c>
    </row>
    <row r="60" spans="2:15" s="37" customFormat="1" ht="16">
      <c r="B60" s="51" t="s">
        <v>114</v>
      </c>
      <c r="C60" s="52"/>
      <c r="D60" s="52">
        <f t="shared" ref="D60:J60" si="32">D47</f>
        <v>0</v>
      </c>
      <c r="E60" s="52">
        <f t="shared" si="32"/>
        <v>0</v>
      </c>
      <c r="F60" s="52">
        <f t="shared" si="32"/>
        <v>0</v>
      </c>
      <c r="G60" s="52">
        <f t="shared" si="32"/>
        <v>0</v>
      </c>
      <c r="H60" s="52">
        <f t="shared" si="32"/>
        <v>0</v>
      </c>
      <c r="I60" s="52">
        <f t="shared" si="32"/>
        <v>0</v>
      </c>
      <c r="J60" s="52">
        <f t="shared" si="32"/>
        <v>0</v>
      </c>
      <c r="K60" s="52">
        <f>K47</f>
        <v>0</v>
      </c>
      <c r="L60" s="52">
        <f>L47</f>
        <v>0</v>
      </c>
      <c r="M60" s="52">
        <f>M47</f>
        <v>0</v>
      </c>
      <c r="N60" s="52">
        <f>N47</f>
        <v>0</v>
      </c>
      <c r="O60" s="52">
        <f>O47</f>
        <v>0</v>
      </c>
    </row>
    <row r="61" spans="2:15" s="37" customFormat="1">
      <c r="B61" s="51"/>
      <c r="C61" s="52"/>
      <c r="D61" s="52"/>
      <c r="E61" s="52"/>
      <c r="F61" s="52"/>
      <c r="G61" s="52"/>
      <c r="H61" s="52"/>
      <c r="I61" s="52"/>
      <c r="J61" s="52"/>
      <c r="K61" s="52"/>
      <c r="L61" s="52"/>
      <c r="M61" s="52"/>
      <c r="N61" s="52"/>
      <c r="O61" s="52"/>
    </row>
    <row r="62" spans="2:15" s="37" customFormat="1">
      <c r="B62" s="49">
        <v>15</v>
      </c>
      <c r="C62" s="50">
        <v>2022</v>
      </c>
      <c r="D62" s="50">
        <v>2023</v>
      </c>
      <c r="E62" s="50">
        <v>2024</v>
      </c>
      <c r="F62" s="50">
        <v>2025</v>
      </c>
      <c r="G62" s="50">
        <v>2026</v>
      </c>
      <c r="H62" s="50">
        <v>2027</v>
      </c>
      <c r="I62" s="50">
        <v>2028</v>
      </c>
      <c r="J62" s="50">
        <v>2029</v>
      </c>
      <c r="K62" s="50">
        <v>2030</v>
      </c>
      <c r="L62" s="50">
        <v>2031</v>
      </c>
      <c r="M62" s="50">
        <v>2032</v>
      </c>
      <c r="N62" s="50">
        <v>2033</v>
      </c>
      <c r="O62" s="50">
        <v>2034</v>
      </c>
    </row>
    <row r="63" spans="2:15" s="37" customFormat="1" ht="16">
      <c r="B63" s="51" t="s">
        <v>105</v>
      </c>
      <c r="C63" s="54"/>
      <c r="D63" s="54">
        <f>Supuestos!F39</f>
        <v>0</v>
      </c>
      <c r="E63" s="54">
        <f>Supuestos!G39</f>
        <v>0</v>
      </c>
      <c r="F63" s="54">
        <f>Supuestos!H39</f>
        <v>0</v>
      </c>
      <c r="G63" s="54">
        <f>Supuestos!I39</f>
        <v>0</v>
      </c>
      <c r="H63" s="54">
        <f>Supuestos!J39</f>
        <v>0</v>
      </c>
      <c r="I63" s="54">
        <f>Supuestos!K39</f>
        <v>0</v>
      </c>
      <c r="J63" s="54">
        <f>Supuestos!L39</f>
        <v>0</v>
      </c>
      <c r="K63" s="54">
        <f>Supuestos!M39</f>
        <v>0</v>
      </c>
      <c r="L63" s="54">
        <f>Supuestos!N39</f>
        <v>0</v>
      </c>
      <c r="M63" s="54">
        <f>Supuestos!O39</f>
        <v>0</v>
      </c>
      <c r="N63" s="54">
        <f>Supuestos!P39</f>
        <v>0</v>
      </c>
      <c r="O63" s="54">
        <f>Supuestos!Q39</f>
        <v>0</v>
      </c>
    </row>
    <row r="64" spans="2:15" s="37" customFormat="1" ht="16">
      <c r="B64" s="51" t="s">
        <v>89</v>
      </c>
      <c r="C64" s="54"/>
      <c r="D64" s="54">
        <f>Supuestos!F40</f>
        <v>0</v>
      </c>
      <c r="E64" s="54">
        <f>Supuestos!G40</f>
        <v>0</v>
      </c>
      <c r="F64" s="54">
        <f>Supuestos!H40</f>
        <v>0</v>
      </c>
      <c r="G64" s="54">
        <f>Supuestos!I40</f>
        <v>0</v>
      </c>
      <c r="H64" s="54">
        <f>Supuestos!J40</f>
        <v>0</v>
      </c>
      <c r="I64" s="54">
        <f>Supuestos!K40</f>
        <v>0</v>
      </c>
      <c r="J64" s="54">
        <f>Supuestos!L40</f>
        <v>0</v>
      </c>
      <c r="K64" s="54">
        <f>Supuestos!M40</f>
        <v>0</v>
      </c>
      <c r="L64" s="54">
        <f>Supuestos!N40</f>
        <v>0</v>
      </c>
      <c r="M64" s="54">
        <f>Supuestos!O40</f>
        <v>0</v>
      </c>
      <c r="N64" s="54">
        <f>Supuestos!P40</f>
        <v>0</v>
      </c>
      <c r="O64" s="54">
        <f>Supuestos!Q40</f>
        <v>0</v>
      </c>
    </row>
    <row r="65" spans="2:15" s="37" customFormat="1" ht="16">
      <c r="B65" s="51" t="s">
        <v>90</v>
      </c>
      <c r="C65" s="55"/>
      <c r="D65" s="55">
        <f>Supuestos!F41</f>
        <v>15</v>
      </c>
      <c r="E65" s="55">
        <f>Supuestos!G41</f>
        <v>15</v>
      </c>
      <c r="F65" s="55">
        <f>Supuestos!H41</f>
        <v>15</v>
      </c>
      <c r="G65" s="55">
        <f>Supuestos!I41</f>
        <v>15</v>
      </c>
      <c r="H65" s="55">
        <f>Supuestos!J41</f>
        <v>15</v>
      </c>
      <c r="I65" s="55">
        <f>Supuestos!K41</f>
        <v>15</v>
      </c>
      <c r="J65" s="55">
        <f>Supuestos!L41</f>
        <v>15</v>
      </c>
      <c r="K65" s="55">
        <f>Supuestos!M41</f>
        <v>15</v>
      </c>
      <c r="L65" s="55">
        <f>Supuestos!N41</f>
        <v>15</v>
      </c>
      <c r="M65" s="55">
        <f>Supuestos!O41</f>
        <v>15</v>
      </c>
      <c r="N65" s="55">
        <f>Supuestos!P41</f>
        <v>15</v>
      </c>
      <c r="O65" s="55">
        <f>Supuestos!Q41</f>
        <v>15</v>
      </c>
    </row>
    <row r="66" spans="2:15" s="37" customFormat="1" ht="16">
      <c r="B66" s="51" t="s">
        <v>79</v>
      </c>
      <c r="C66" s="55"/>
      <c r="D66" s="55">
        <f t="shared" ref="D66:N66" si="33">D62+D65</f>
        <v>2038</v>
      </c>
      <c r="E66" s="55">
        <f t="shared" si="33"/>
        <v>2039</v>
      </c>
      <c r="F66" s="55">
        <f t="shared" si="33"/>
        <v>2040</v>
      </c>
      <c r="G66" s="55">
        <f t="shared" si="33"/>
        <v>2041</v>
      </c>
      <c r="H66" s="55">
        <f t="shared" si="33"/>
        <v>2042</v>
      </c>
      <c r="I66" s="55">
        <f t="shared" si="33"/>
        <v>2043</v>
      </c>
      <c r="J66" s="55">
        <f t="shared" si="33"/>
        <v>2044</v>
      </c>
      <c r="K66" s="55">
        <f t="shared" si="33"/>
        <v>2045</v>
      </c>
      <c r="L66" s="55">
        <f t="shared" si="33"/>
        <v>2046</v>
      </c>
      <c r="M66" s="55">
        <f t="shared" si="33"/>
        <v>2047</v>
      </c>
      <c r="N66" s="55">
        <f t="shared" si="33"/>
        <v>2048</v>
      </c>
      <c r="O66" s="55">
        <f t="shared" ref="O66" si="34">O62+O65</f>
        <v>2049</v>
      </c>
    </row>
    <row r="67" spans="2:15" s="37" customFormat="1" ht="16">
      <c r="B67" s="51" t="s">
        <v>107</v>
      </c>
      <c r="C67" s="61"/>
      <c r="D67" s="61">
        <f>Supuestos!F28</f>
        <v>0</v>
      </c>
      <c r="E67" s="61">
        <f>Supuestos!G28</f>
        <v>0</v>
      </c>
      <c r="F67" s="61">
        <f>Supuestos!H28</f>
        <v>0</v>
      </c>
      <c r="G67" s="61">
        <f>Supuestos!I28</f>
        <v>0</v>
      </c>
      <c r="H67" s="61">
        <f>Supuestos!J28</f>
        <v>0</v>
      </c>
      <c r="I67" s="61">
        <f>Supuestos!K28</f>
        <v>0</v>
      </c>
      <c r="J67" s="61">
        <f>Supuestos!L28</f>
        <v>0</v>
      </c>
      <c r="K67" s="61">
        <f>Supuestos!M28</f>
        <v>0</v>
      </c>
      <c r="L67" s="61">
        <f>Supuestos!N28</f>
        <v>0</v>
      </c>
      <c r="M67" s="61">
        <f>Supuestos!O28</f>
        <v>0</v>
      </c>
      <c r="N67" s="61">
        <f>Supuestos!P28</f>
        <v>0</v>
      </c>
      <c r="O67" s="61">
        <f>Supuestos!Q28</f>
        <v>0</v>
      </c>
    </row>
    <row r="68" spans="2:15" s="37" customFormat="1" ht="16">
      <c r="B68" s="51" t="s">
        <v>301</v>
      </c>
      <c r="C68" s="57"/>
      <c r="D68" s="57">
        <f t="shared" ref="D68:N68" si="35">D$3*D67</f>
        <v>0</v>
      </c>
      <c r="E68" s="57" t="e">
        <f t="shared" si="35"/>
        <v>#DIV/0!</v>
      </c>
      <c r="F68" s="57" t="e">
        <f t="shared" si="35"/>
        <v>#DIV/0!</v>
      </c>
      <c r="G68" s="57" t="e">
        <f t="shared" si="35"/>
        <v>#DIV/0!</v>
      </c>
      <c r="H68" s="57" t="e">
        <f t="shared" si="35"/>
        <v>#DIV/0!</v>
      </c>
      <c r="I68" s="57" t="e">
        <f t="shared" si="35"/>
        <v>#DIV/0!</v>
      </c>
      <c r="J68" s="57" t="e">
        <f t="shared" si="35"/>
        <v>#DIV/0!</v>
      </c>
      <c r="K68" s="57" t="e">
        <f t="shared" si="35"/>
        <v>#DIV/0!</v>
      </c>
      <c r="L68" s="57" t="e">
        <f t="shared" si="35"/>
        <v>#DIV/0!</v>
      </c>
      <c r="M68" s="57" t="e">
        <f t="shared" si="35"/>
        <v>#DIV/0!</v>
      </c>
      <c r="N68" s="57" t="e">
        <f t="shared" si="35"/>
        <v>#DIV/0!</v>
      </c>
      <c r="O68" s="57" t="e">
        <f t="shared" ref="O68" si="36">O$3*O67</f>
        <v>#DIV/0!</v>
      </c>
    </row>
    <row r="69" spans="2:15" s="37" customFormat="1" ht="16">
      <c r="B69" s="51" t="s">
        <v>40</v>
      </c>
      <c r="C69" s="57"/>
      <c r="D69" s="57">
        <f t="shared" ref="D69:N69" si="37">D$4*D67</f>
        <v>0</v>
      </c>
      <c r="E69" s="57">
        <f t="shared" si="37"/>
        <v>0</v>
      </c>
      <c r="F69" s="57">
        <f t="shared" si="37"/>
        <v>0</v>
      </c>
      <c r="G69" s="57">
        <f t="shared" si="37"/>
        <v>0</v>
      </c>
      <c r="H69" s="57">
        <f t="shared" si="37"/>
        <v>0</v>
      </c>
      <c r="I69" s="57">
        <f t="shared" si="37"/>
        <v>0</v>
      </c>
      <c r="J69" s="57">
        <f t="shared" si="37"/>
        <v>0</v>
      </c>
      <c r="K69" s="57">
        <f t="shared" si="37"/>
        <v>0</v>
      </c>
      <c r="L69" s="57">
        <f t="shared" si="37"/>
        <v>0</v>
      </c>
      <c r="M69" s="57">
        <f t="shared" si="37"/>
        <v>0</v>
      </c>
      <c r="N69" s="57">
        <f t="shared" si="37"/>
        <v>0</v>
      </c>
      <c r="O69" s="57">
        <f t="shared" ref="O69" si="38">O$4*O67</f>
        <v>0</v>
      </c>
    </row>
    <row r="70" spans="2:15" s="37" customFormat="1" ht="16">
      <c r="B70" s="58" t="s">
        <v>115</v>
      </c>
      <c r="C70" s="59"/>
      <c r="D70" s="59">
        <f t="shared" ref="D70:N70" si="39">SUM(D68:D69)</f>
        <v>0</v>
      </c>
      <c r="E70" s="59" t="e">
        <f t="shared" si="39"/>
        <v>#DIV/0!</v>
      </c>
      <c r="F70" s="59" t="e">
        <f t="shared" si="39"/>
        <v>#DIV/0!</v>
      </c>
      <c r="G70" s="59" t="e">
        <f t="shared" si="39"/>
        <v>#DIV/0!</v>
      </c>
      <c r="H70" s="59" t="e">
        <f t="shared" si="39"/>
        <v>#DIV/0!</v>
      </c>
      <c r="I70" s="59" t="e">
        <f t="shared" si="39"/>
        <v>#DIV/0!</v>
      </c>
      <c r="J70" s="59" t="e">
        <f t="shared" si="39"/>
        <v>#DIV/0!</v>
      </c>
      <c r="K70" s="59" t="e">
        <f t="shared" si="39"/>
        <v>#DIV/0!</v>
      </c>
      <c r="L70" s="59" t="e">
        <f t="shared" si="39"/>
        <v>#DIV/0!</v>
      </c>
      <c r="M70" s="59" t="e">
        <f t="shared" si="39"/>
        <v>#DIV/0!</v>
      </c>
      <c r="N70" s="59" t="e">
        <f t="shared" si="39"/>
        <v>#DIV/0!</v>
      </c>
      <c r="O70" s="59" t="e">
        <f t="shared" ref="O70" si="40">SUM(O68:O69)</f>
        <v>#DIV/0!</v>
      </c>
    </row>
    <row r="71" spans="2:15" s="37" customFormat="1">
      <c r="B71" s="51"/>
      <c r="C71" s="57"/>
      <c r="D71" s="57"/>
      <c r="E71" s="57"/>
      <c r="F71" s="57"/>
      <c r="G71" s="57"/>
      <c r="H71" s="57"/>
      <c r="I71" s="57"/>
      <c r="J71" s="57"/>
      <c r="K71" s="57"/>
      <c r="L71" s="57"/>
      <c r="M71" s="57"/>
      <c r="N71" s="57"/>
      <c r="O71" s="57"/>
    </row>
    <row r="72" spans="2:15" s="37" customFormat="1" ht="16">
      <c r="B72" s="51" t="s">
        <v>112</v>
      </c>
      <c r="C72" s="57"/>
      <c r="D72" s="57">
        <f>NPV(D64,D75:D88,(D89+D70))-D70</f>
        <v>0</v>
      </c>
      <c r="E72" s="57" t="e">
        <f t="shared" ref="E72:N72" si="41">NPV(E64,E75:E88,(E89+E70))-E70</f>
        <v>#DIV/0!</v>
      </c>
      <c r="F72" s="57" t="e">
        <f t="shared" si="41"/>
        <v>#DIV/0!</v>
      </c>
      <c r="G72" s="57" t="e">
        <f t="shared" si="41"/>
        <v>#DIV/0!</v>
      </c>
      <c r="H72" s="57" t="e">
        <f t="shared" si="41"/>
        <v>#DIV/0!</v>
      </c>
      <c r="I72" s="57" t="e">
        <f t="shared" si="41"/>
        <v>#DIV/0!</v>
      </c>
      <c r="J72" s="57" t="e">
        <f t="shared" si="41"/>
        <v>#DIV/0!</v>
      </c>
      <c r="K72" s="57" t="e">
        <f t="shared" si="41"/>
        <v>#DIV/0!</v>
      </c>
      <c r="L72" s="57" t="e">
        <f t="shared" si="41"/>
        <v>#DIV/0!</v>
      </c>
      <c r="M72" s="57" t="e">
        <f t="shared" si="41"/>
        <v>#DIV/0!</v>
      </c>
      <c r="N72" s="57" t="e">
        <f t="shared" si="41"/>
        <v>#DIV/0!</v>
      </c>
      <c r="O72" s="57" t="e">
        <f t="shared" ref="O72" si="42">NPV(O64,O75:O88,(O89+O70))-O70</f>
        <v>#DIV/0!</v>
      </c>
    </row>
    <row r="73" spans="2:15" s="37" customFormat="1">
      <c r="B73" s="51"/>
      <c r="D73" s="172"/>
    </row>
    <row r="74" spans="2:15" s="37" customFormat="1">
      <c r="B74" s="51">
        <v>0</v>
      </c>
      <c r="C74" s="52"/>
      <c r="D74" s="52"/>
      <c r="E74" s="52"/>
      <c r="F74" s="52"/>
      <c r="G74" s="52"/>
      <c r="H74" s="52"/>
      <c r="I74" s="52"/>
      <c r="J74" s="52"/>
      <c r="K74" s="52"/>
      <c r="L74" s="52"/>
      <c r="M74" s="52"/>
      <c r="N74" s="52"/>
      <c r="O74" s="52"/>
    </row>
    <row r="75" spans="2:15" s="37" customFormat="1">
      <c r="B75" s="51">
        <v>1</v>
      </c>
      <c r="C75" s="52"/>
      <c r="D75" s="52">
        <f>D$70*D$63</f>
        <v>0</v>
      </c>
      <c r="E75" s="52" t="e">
        <f t="shared" ref="E75:O75" si="43">E$70*E$63</f>
        <v>#DIV/0!</v>
      </c>
      <c r="F75" s="52" t="e">
        <f t="shared" si="43"/>
        <v>#DIV/0!</v>
      </c>
      <c r="G75" s="52" t="e">
        <f t="shared" si="43"/>
        <v>#DIV/0!</v>
      </c>
      <c r="H75" s="52" t="e">
        <f t="shared" si="43"/>
        <v>#DIV/0!</v>
      </c>
      <c r="I75" s="52" t="e">
        <f t="shared" si="43"/>
        <v>#DIV/0!</v>
      </c>
      <c r="J75" s="52" t="e">
        <f t="shared" si="43"/>
        <v>#DIV/0!</v>
      </c>
      <c r="K75" s="52" t="e">
        <f t="shared" si="43"/>
        <v>#DIV/0!</v>
      </c>
      <c r="L75" s="52" t="e">
        <f t="shared" si="43"/>
        <v>#DIV/0!</v>
      </c>
      <c r="M75" s="52" t="e">
        <f t="shared" si="43"/>
        <v>#DIV/0!</v>
      </c>
      <c r="N75" s="52" t="e">
        <f t="shared" si="43"/>
        <v>#DIV/0!</v>
      </c>
      <c r="O75" s="52" t="e">
        <f t="shared" si="43"/>
        <v>#DIV/0!</v>
      </c>
    </row>
    <row r="76" spans="2:15" s="37" customFormat="1">
      <c r="B76" s="51">
        <v>2</v>
      </c>
      <c r="C76" s="52"/>
      <c r="D76" s="52">
        <f t="shared" ref="D76:O89" si="44">D$70*D$63</f>
        <v>0</v>
      </c>
      <c r="E76" s="52" t="e">
        <f t="shared" si="44"/>
        <v>#DIV/0!</v>
      </c>
      <c r="F76" s="52" t="e">
        <f t="shared" si="44"/>
        <v>#DIV/0!</v>
      </c>
      <c r="G76" s="52" t="e">
        <f t="shared" si="44"/>
        <v>#DIV/0!</v>
      </c>
      <c r="H76" s="52" t="e">
        <f t="shared" si="44"/>
        <v>#DIV/0!</v>
      </c>
      <c r="I76" s="52" t="e">
        <f t="shared" si="44"/>
        <v>#DIV/0!</v>
      </c>
      <c r="J76" s="52" t="e">
        <f t="shared" si="44"/>
        <v>#DIV/0!</v>
      </c>
      <c r="K76" s="52" t="e">
        <f t="shared" si="44"/>
        <v>#DIV/0!</v>
      </c>
      <c r="L76" s="52" t="e">
        <f t="shared" si="44"/>
        <v>#DIV/0!</v>
      </c>
      <c r="M76" s="52" t="e">
        <f t="shared" si="44"/>
        <v>#DIV/0!</v>
      </c>
      <c r="N76" s="52" t="e">
        <f t="shared" si="44"/>
        <v>#DIV/0!</v>
      </c>
      <c r="O76" s="52" t="e">
        <f t="shared" si="44"/>
        <v>#DIV/0!</v>
      </c>
    </row>
    <row r="77" spans="2:15" s="37" customFormat="1">
      <c r="B77" s="51">
        <v>3</v>
      </c>
      <c r="C77" s="52"/>
      <c r="D77" s="52">
        <f t="shared" si="44"/>
        <v>0</v>
      </c>
      <c r="E77" s="52" t="e">
        <f t="shared" si="44"/>
        <v>#DIV/0!</v>
      </c>
      <c r="F77" s="52" t="e">
        <f t="shared" si="44"/>
        <v>#DIV/0!</v>
      </c>
      <c r="G77" s="52" t="e">
        <f t="shared" si="44"/>
        <v>#DIV/0!</v>
      </c>
      <c r="H77" s="52" t="e">
        <f t="shared" si="44"/>
        <v>#DIV/0!</v>
      </c>
      <c r="I77" s="52" t="e">
        <f t="shared" si="44"/>
        <v>#DIV/0!</v>
      </c>
      <c r="J77" s="52" t="e">
        <f t="shared" si="44"/>
        <v>#DIV/0!</v>
      </c>
      <c r="K77" s="52" t="e">
        <f t="shared" si="44"/>
        <v>#DIV/0!</v>
      </c>
      <c r="L77" s="52" t="e">
        <f t="shared" si="44"/>
        <v>#DIV/0!</v>
      </c>
      <c r="M77" s="52" t="e">
        <f t="shared" si="44"/>
        <v>#DIV/0!</v>
      </c>
      <c r="N77" s="52" t="e">
        <f t="shared" si="44"/>
        <v>#DIV/0!</v>
      </c>
      <c r="O77" s="52" t="e">
        <f t="shared" si="44"/>
        <v>#DIV/0!</v>
      </c>
    </row>
    <row r="78" spans="2:15" s="37" customFormat="1">
      <c r="B78" s="51">
        <v>4</v>
      </c>
      <c r="C78" s="52"/>
      <c r="D78" s="52">
        <f t="shared" si="44"/>
        <v>0</v>
      </c>
      <c r="E78" s="52" t="e">
        <f t="shared" si="44"/>
        <v>#DIV/0!</v>
      </c>
      <c r="F78" s="52" t="e">
        <f t="shared" si="44"/>
        <v>#DIV/0!</v>
      </c>
      <c r="G78" s="52" t="e">
        <f t="shared" si="44"/>
        <v>#DIV/0!</v>
      </c>
      <c r="H78" s="52" t="e">
        <f t="shared" si="44"/>
        <v>#DIV/0!</v>
      </c>
      <c r="I78" s="52" t="e">
        <f t="shared" si="44"/>
        <v>#DIV/0!</v>
      </c>
      <c r="J78" s="52" t="e">
        <f t="shared" si="44"/>
        <v>#DIV/0!</v>
      </c>
      <c r="K78" s="52" t="e">
        <f t="shared" si="44"/>
        <v>#DIV/0!</v>
      </c>
      <c r="L78" s="52" t="e">
        <f t="shared" si="44"/>
        <v>#DIV/0!</v>
      </c>
      <c r="M78" s="52" t="e">
        <f t="shared" si="44"/>
        <v>#DIV/0!</v>
      </c>
      <c r="N78" s="52" t="e">
        <f t="shared" si="44"/>
        <v>#DIV/0!</v>
      </c>
      <c r="O78" s="52" t="e">
        <f t="shared" si="44"/>
        <v>#DIV/0!</v>
      </c>
    </row>
    <row r="79" spans="2:15" s="37" customFormat="1">
      <c r="B79" s="51">
        <v>5</v>
      </c>
      <c r="C79" s="52"/>
      <c r="D79" s="52">
        <f t="shared" si="44"/>
        <v>0</v>
      </c>
      <c r="E79" s="52" t="e">
        <f t="shared" si="44"/>
        <v>#DIV/0!</v>
      </c>
      <c r="F79" s="52" t="e">
        <f t="shared" si="44"/>
        <v>#DIV/0!</v>
      </c>
      <c r="G79" s="52" t="e">
        <f t="shared" si="44"/>
        <v>#DIV/0!</v>
      </c>
      <c r="H79" s="52" t="e">
        <f t="shared" si="44"/>
        <v>#DIV/0!</v>
      </c>
      <c r="I79" s="52" t="e">
        <f t="shared" si="44"/>
        <v>#DIV/0!</v>
      </c>
      <c r="J79" s="52" t="e">
        <f t="shared" si="44"/>
        <v>#DIV/0!</v>
      </c>
      <c r="K79" s="52" t="e">
        <f t="shared" si="44"/>
        <v>#DIV/0!</v>
      </c>
      <c r="L79" s="52" t="e">
        <f t="shared" si="44"/>
        <v>#DIV/0!</v>
      </c>
      <c r="M79" s="52" t="e">
        <f t="shared" si="44"/>
        <v>#DIV/0!</v>
      </c>
      <c r="N79" s="52" t="e">
        <f t="shared" si="44"/>
        <v>#DIV/0!</v>
      </c>
      <c r="O79" s="52" t="e">
        <f t="shared" si="44"/>
        <v>#DIV/0!</v>
      </c>
    </row>
    <row r="80" spans="2:15" s="37" customFormat="1">
      <c r="B80" s="51">
        <v>6</v>
      </c>
      <c r="C80" s="52"/>
      <c r="D80" s="52">
        <f t="shared" si="44"/>
        <v>0</v>
      </c>
      <c r="E80" s="52" t="e">
        <f t="shared" si="44"/>
        <v>#DIV/0!</v>
      </c>
      <c r="F80" s="52" t="e">
        <f t="shared" si="44"/>
        <v>#DIV/0!</v>
      </c>
      <c r="G80" s="52" t="e">
        <f t="shared" si="44"/>
        <v>#DIV/0!</v>
      </c>
      <c r="H80" s="52" t="e">
        <f t="shared" si="44"/>
        <v>#DIV/0!</v>
      </c>
      <c r="I80" s="52" t="e">
        <f t="shared" si="44"/>
        <v>#DIV/0!</v>
      </c>
      <c r="J80" s="52" t="e">
        <f t="shared" si="44"/>
        <v>#DIV/0!</v>
      </c>
      <c r="K80" s="52" t="e">
        <f t="shared" si="44"/>
        <v>#DIV/0!</v>
      </c>
      <c r="L80" s="52" t="e">
        <f t="shared" si="44"/>
        <v>#DIV/0!</v>
      </c>
      <c r="M80" s="52" t="e">
        <f t="shared" si="44"/>
        <v>#DIV/0!</v>
      </c>
      <c r="N80" s="52" t="e">
        <f t="shared" si="44"/>
        <v>#DIV/0!</v>
      </c>
      <c r="O80" s="52" t="e">
        <f t="shared" si="44"/>
        <v>#DIV/0!</v>
      </c>
    </row>
    <row r="81" spans="2:15" s="37" customFormat="1">
      <c r="B81" s="51">
        <v>7</v>
      </c>
      <c r="C81" s="52"/>
      <c r="D81" s="52">
        <f t="shared" si="44"/>
        <v>0</v>
      </c>
      <c r="E81" s="52" t="e">
        <f t="shared" si="44"/>
        <v>#DIV/0!</v>
      </c>
      <c r="F81" s="52" t="e">
        <f t="shared" si="44"/>
        <v>#DIV/0!</v>
      </c>
      <c r="G81" s="52" t="e">
        <f t="shared" si="44"/>
        <v>#DIV/0!</v>
      </c>
      <c r="H81" s="52" t="e">
        <f t="shared" si="44"/>
        <v>#DIV/0!</v>
      </c>
      <c r="I81" s="52" t="e">
        <f t="shared" si="44"/>
        <v>#DIV/0!</v>
      </c>
      <c r="J81" s="52" t="e">
        <f t="shared" si="44"/>
        <v>#DIV/0!</v>
      </c>
      <c r="K81" s="52" t="e">
        <f t="shared" si="44"/>
        <v>#DIV/0!</v>
      </c>
      <c r="L81" s="52" t="e">
        <f t="shared" si="44"/>
        <v>#DIV/0!</v>
      </c>
      <c r="M81" s="52" t="e">
        <f t="shared" si="44"/>
        <v>#DIV/0!</v>
      </c>
      <c r="N81" s="52" t="e">
        <f t="shared" si="44"/>
        <v>#DIV/0!</v>
      </c>
      <c r="O81" s="52" t="e">
        <f t="shared" si="44"/>
        <v>#DIV/0!</v>
      </c>
    </row>
    <row r="82" spans="2:15" s="37" customFormat="1">
      <c r="B82" s="51">
        <v>8</v>
      </c>
      <c r="C82" s="52"/>
      <c r="D82" s="52">
        <f t="shared" si="44"/>
        <v>0</v>
      </c>
      <c r="E82" s="52" t="e">
        <f t="shared" si="44"/>
        <v>#DIV/0!</v>
      </c>
      <c r="F82" s="52" t="e">
        <f t="shared" si="44"/>
        <v>#DIV/0!</v>
      </c>
      <c r="G82" s="52" t="e">
        <f t="shared" si="44"/>
        <v>#DIV/0!</v>
      </c>
      <c r="H82" s="52" t="e">
        <f t="shared" si="44"/>
        <v>#DIV/0!</v>
      </c>
      <c r="I82" s="52" t="e">
        <f t="shared" si="44"/>
        <v>#DIV/0!</v>
      </c>
      <c r="J82" s="52" t="e">
        <f t="shared" si="44"/>
        <v>#DIV/0!</v>
      </c>
      <c r="K82" s="52" t="e">
        <f t="shared" si="44"/>
        <v>#DIV/0!</v>
      </c>
      <c r="L82" s="52" t="e">
        <f t="shared" si="44"/>
        <v>#DIV/0!</v>
      </c>
      <c r="M82" s="52" t="e">
        <f t="shared" si="44"/>
        <v>#DIV/0!</v>
      </c>
      <c r="N82" s="52" t="e">
        <f t="shared" si="44"/>
        <v>#DIV/0!</v>
      </c>
      <c r="O82" s="52" t="e">
        <f t="shared" si="44"/>
        <v>#DIV/0!</v>
      </c>
    </row>
    <row r="83" spans="2:15" s="37" customFormat="1">
      <c r="B83" s="51">
        <v>9</v>
      </c>
      <c r="C83" s="52"/>
      <c r="D83" s="52">
        <f t="shared" si="44"/>
        <v>0</v>
      </c>
      <c r="E83" s="52" t="e">
        <f t="shared" si="44"/>
        <v>#DIV/0!</v>
      </c>
      <c r="F83" s="52" t="e">
        <f t="shared" si="44"/>
        <v>#DIV/0!</v>
      </c>
      <c r="G83" s="52" t="e">
        <f t="shared" si="44"/>
        <v>#DIV/0!</v>
      </c>
      <c r="H83" s="52" t="e">
        <f t="shared" si="44"/>
        <v>#DIV/0!</v>
      </c>
      <c r="I83" s="52" t="e">
        <f t="shared" si="44"/>
        <v>#DIV/0!</v>
      </c>
      <c r="J83" s="52" t="e">
        <f t="shared" si="44"/>
        <v>#DIV/0!</v>
      </c>
      <c r="K83" s="52" t="e">
        <f t="shared" si="44"/>
        <v>#DIV/0!</v>
      </c>
      <c r="L83" s="52" t="e">
        <f t="shared" si="44"/>
        <v>#DIV/0!</v>
      </c>
      <c r="M83" s="52" t="e">
        <f t="shared" si="44"/>
        <v>#DIV/0!</v>
      </c>
      <c r="N83" s="52" t="e">
        <f t="shared" si="44"/>
        <v>#DIV/0!</v>
      </c>
      <c r="O83" s="52" t="e">
        <f t="shared" si="44"/>
        <v>#DIV/0!</v>
      </c>
    </row>
    <row r="84" spans="2:15" s="37" customFormat="1">
      <c r="B84" s="51">
        <v>10</v>
      </c>
      <c r="C84" s="52"/>
      <c r="D84" s="52">
        <f t="shared" si="44"/>
        <v>0</v>
      </c>
      <c r="E84" s="52" t="e">
        <f t="shared" si="44"/>
        <v>#DIV/0!</v>
      </c>
      <c r="F84" s="52" t="e">
        <f t="shared" si="44"/>
        <v>#DIV/0!</v>
      </c>
      <c r="G84" s="52" t="e">
        <f t="shared" si="44"/>
        <v>#DIV/0!</v>
      </c>
      <c r="H84" s="52" t="e">
        <f t="shared" si="44"/>
        <v>#DIV/0!</v>
      </c>
      <c r="I84" s="52" t="e">
        <f t="shared" si="44"/>
        <v>#DIV/0!</v>
      </c>
      <c r="J84" s="52" t="e">
        <f t="shared" si="44"/>
        <v>#DIV/0!</v>
      </c>
      <c r="K84" s="52" t="e">
        <f t="shared" si="44"/>
        <v>#DIV/0!</v>
      </c>
      <c r="L84" s="52" t="e">
        <f t="shared" si="44"/>
        <v>#DIV/0!</v>
      </c>
      <c r="M84" s="52" t="e">
        <f t="shared" si="44"/>
        <v>#DIV/0!</v>
      </c>
      <c r="N84" s="52" t="e">
        <f t="shared" si="44"/>
        <v>#DIV/0!</v>
      </c>
      <c r="O84" s="52" t="e">
        <f t="shared" si="44"/>
        <v>#DIV/0!</v>
      </c>
    </row>
    <row r="85" spans="2:15" s="37" customFormat="1">
      <c r="B85" s="51">
        <v>11</v>
      </c>
      <c r="C85" s="52"/>
      <c r="D85" s="52">
        <f t="shared" si="44"/>
        <v>0</v>
      </c>
      <c r="E85" s="52" t="e">
        <f t="shared" si="44"/>
        <v>#DIV/0!</v>
      </c>
      <c r="F85" s="52" t="e">
        <f t="shared" si="44"/>
        <v>#DIV/0!</v>
      </c>
      <c r="G85" s="52" t="e">
        <f t="shared" si="44"/>
        <v>#DIV/0!</v>
      </c>
      <c r="H85" s="52" t="e">
        <f t="shared" si="44"/>
        <v>#DIV/0!</v>
      </c>
      <c r="I85" s="52" t="e">
        <f t="shared" si="44"/>
        <v>#DIV/0!</v>
      </c>
      <c r="J85" s="52" t="e">
        <f t="shared" si="44"/>
        <v>#DIV/0!</v>
      </c>
      <c r="K85" s="52" t="e">
        <f t="shared" si="44"/>
        <v>#DIV/0!</v>
      </c>
      <c r="L85" s="52" t="e">
        <f t="shared" si="44"/>
        <v>#DIV/0!</v>
      </c>
      <c r="M85" s="52" t="e">
        <f t="shared" si="44"/>
        <v>#DIV/0!</v>
      </c>
      <c r="N85" s="52" t="e">
        <f t="shared" si="44"/>
        <v>#DIV/0!</v>
      </c>
      <c r="O85" s="52" t="e">
        <f t="shared" si="44"/>
        <v>#DIV/0!</v>
      </c>
    </row>
    <row r="86" spans="2:15" s="37" customFormat="1">
      <c r="B86" s="51">
        <v>12</v>
      </c>
      <c r="C86" s="52"/>
      <c r="D86" s="52">
        <f t="shared" si="44"/>
        <v>0</v>
      </c>
      <c r="E86" s="52" t="e">
        <f t="shared" si="44"/>
        <v>#DIV/0!</v>
      </c>
      <c r="F86" s="52" t="e">
        <f t="shared" si="44"/>
        <v>#DIV/0!</v>
      </c>
      <c r="G86" s="52" t="e">
        <f t="shared" si="44"/>
        <v>#DIV/0!</v>
      </c>
      <c r="H86" s="52" t="e">
        <f t="shared" si="44"/>
        <v>#DIV/0!</v>
      </c>
      <c r="I86" s="52" t="e">
        <f t="shared" si="44"/>
        <v>#DIV/0!</v>
      </c>
      <c r="J86" s="52" t="e">
        <f t="shared" si="44"/>
        <v>#DIV/0!</v>
      </c>
      <c r="K86" s="52" t="e">
        <f t="shared" si="44"/>
        <v>#DIV/0!</v>
      </c>
      <c r="L86" s="52" t="e">
        <f t="shared" si="44"/>
        <v>#DIV/0!</v>
      </c>
      <c r="M86" s="52" t="e">
        <f t="shared" si="44"/>
        <v>#DIV/0!</v>
      </c>
      <c r="N86" s="52" t="e">
        <f t="shared" si="44"/>
        <v>#DIV/0!</v>
      </c>
      <c r="O86" s="52" t="e">
        <f t="shared" si="44"/>
        <v>#DIV/0!</v>
      </c>
    </row>
    <row r="87" spans="2:15" s="37" customFormat="1">
      <c r="B87" s="51">
        <v>13</v>
      </c>
      <c r="C87" s="52"/>
      <c r="D87" s="52">
        <f t="shared" si="44"/>
        <v>0</v>
      </c>
      <c r="E87" s="52" t="e">
        <f t="shared" si="44"/>
        <v>#DIV/0!</v>
      </c>
      <c r="F87" s="52" t="e">
        <f t="shared" si="44"/>
        <v>#DIV/0!</v>
      </c>
      <c r="G87" s="52" t="e">
        <f t="shared" si="44"/>
        <v>#DIV/0!</v>
      </c>
      <c r="H87" s="52" t="e">
        <f t="shared" si="44"/>
        <v>#DIV/0!</v>
      </c>
      <c r="I87" s="52" t="e">
        <f t="shared" si="44"/>
        <v>#DIV/0!</v>
      </c>
      <c r="J87" s="52" t="e">
        <f t="shared" si="44"/>
        <v>#DIV/0!</v>
      </c>
      <c r="K87" s="52" t="e">
        <f t="shared" si="44"/>
        <v>#DIV/0!</v>
      </c>
      <c r="L87" s="52" t="e">
        <f t="shared" si="44"/>
        <v>#DIV/0!</v>
      </c>
      <c r="M87" s="52" t="e">
        <f t="shared" si="44"/>
        <v>#DIV/0!</v>
      </c>
      <c r="N87" s="52" t="e">
        <f t="shared" si="44"/>
        <v>#DIV/0!</v>
      </c>
      <c r="O87" s="52" t="e">
        <f t="shared" si="44"/>
        <v>#DIV/0!</v>
      </c>
    </row>
    <row r="88" spans="2:15" s="37" customFormat="1">
      <c r="B88" s="51">
        <v>14</v>
      </c>
      <c r="C88" s="52"/>
      <c r="D88" s="52">
        <f t="shared" si="44"/>
        <v>0</v>
      </c>
      <c r="E88" s="52" t="e">
        <f t="shared" si="44"/>
        <v>#DIV/0!</v>
      </c>
      <c r="F88" s="52" t="e">
        <f t="shared" si="44"/>
        <v>#DIV/0!</v>
      </c>
      <c r="G88" s="52" t="e">
        <f t="shared" si="44"/>
        <v>#DIV/0!</v>
      </c>
      <c r="H88" s="52" t="e">
        <f t="shared" si="44"/>
        <v>#DIV/0!</v>
      </c>
      <c r="I88" s="52" t="e">
        <f t="shared" si="44"/>
        <v>#DIV/0!</v>
      </c>
      <c r="J88" s="52" t="e">
        <f t="shared" si="44"/>
        <v>#DIV/0!</v>
      </c>
      <c r="K88" s="52" t="e">
        <f t="shared" si="44"/>
        <v>#DIV/0!</v>
      </c>
      <c r="L88" s="52" t="e">
        <f t="shared" si="44"/>
        <v>#DIV/0!</v>
      </c>
      <c r="M88" s="52" t="e">
        <f t="shared" si="44"/>
        <v>#DIV/0!</v>
      </c>
      <c r="N88" s="52" t="e">
        <f t="shared" si="44"/>
        <v>#DIV/0!</v>
      </c>
      <c r="O88" s="52" t="e">
        <f t="shared" si="44"/>
        <v>#DIV/0!</v>
      </c>
    </row>
    <row r="89" spans="2:15" s="37" customFormat="1">
      <c r="B89" s="51">
        <v>15</v>
      </c>
      <c r="C89" s="52"/>
      <c r="D89" s="52">
        <f t="shared" si="44"/>
        <v>0</v>
      </c>
      <c r="E89" s="52" t="e">
        <f t="shared" si="44"/>
        <v>#DIV/0!</v>
      </c>
      <c r="F89" s="52" t="e">
        <f t="shared" si="44"/>
        <v>#DIV/0!</v>
      </c>
      <c r="G89" s="52" t="e">
        <f t="shared" si="44"/>
        <v>#DIV/0!</v>
      </c>
      <c r="H89" s="52" t="e">
        <f t="shared" si="44"/>
        <v>#DIV/0!</v>
      </c>
      <c r="I89" s="52" t="e">
        <f t="shared" si="44"/>
        <v>#DIV/0!</v>
      </c>
      <c r="J89" s="52" t="e">
        <f t="shared" si="44"/>
        <v>#DIV/0!</v>
      </c>
      <c r="K89" s="52" t="e">
        <f t="shared" si="44"/>
        <v>#DIV/0!</v>
      </c>
      <c r="L89" s="52" t="e">
        <f t="shared" si="44"/>
        <v>#DIV/0!</v>
      </c>
      <c r="M89" s="52" t="e">
        <f t="shared" si="44"/>
        <v>#DIV/0!</v>
      </c>
      <c r="N89" s="52" t="e">
        <f t="shared" si="44"/>
        <v>#DIV/0!</v>
      </c>
      <c r="O89" s="52" t="e">
        <f t="shared" si="44"/>
        <v>#DIV/0!</v>
      </c>
    </row>
    <row r="90" spans="2:15" s="37" customFormat="1">
      <c r="B90" s="51"/>
    </row>
    <row r="91" spans="2:15" s="37" customFormat="1" ht="16">
      <c r="B91" s="51" t="s">
        <v>113</v>
      </c>
      <c r="C91" s="52"/>
      <c r="D91" s="52"/>
      <c r="E91" s="52">
        <f>D75+C76</f>
        <v>0</v>
      </c>
      <c r="F91" s="52" t="e">
        <f>E75+D76+C77</f>
        <v>#DIV/0!</v>
      </c>
      <c r="G91" s="52" t="e">
        <f>F75+E76+D77+C78</f>
        <v>#DIV/0!</v>
      </c>
      <c r="H91" s="52" t="e">
        <f>G75+F76+E77+D78+C79</f>
        <v>#DIV/0!</v>
      </c>
      <c r="I91" s="52" t="e">
        <f>H75+G76+F77+E78+D79+C80</f>
        <v>#DIV/0!</v>
      </c>
      <c r="J91" s="52" t="e">
        <f>I75+H76+G77+F78+E79+D80+C81</f>
        <v>#DIV/0!</v>
      </c>
      <c r="K91" s="52" t="e">
        <f>J75+I76+H77+G78+F79+E80+D81+C82</f>
        <v>#DIV/0!</v>
      </c>
      <c r="L91" s="52" t="e">
        <f>K75+J76+I77+H78+G79+F80+E81+D82+C83</f>
        <v>#DIV/0!</v>
      </c>
      <c r="M91" s="52" t="e">
        <f>L75+K76+J77+I78+H79+G80+F81+E82+D83+C84</f>
        <v>#DIV/0!</v>
      </c>
      <c r="N91" s="52" t="e">
        <f>M75+L76+K77+J78+I79+H80+G81+F82+E83+D84+C85</f>
        <v>#DIV/0!</v>
      </c>
      <c r="O91" s="52" t="e">
        <f>N75+M76+L77+K78+J79+I80+H81+G82+F83+E84+D85</f>
        <v>#DIV/0!</v>
      </c>
    </row>
    <row r="92" spans="2:15" s="37" customFormat="1" ht="16">
      <c r="B92" s="51" t="s">
        <v>114</v>
      </c>
      <c r="C92" s="52"/>
      <c r="D92" s="52">
        <f t="shared" ref="D92:J92" si="45">D74</f>
        <v>0</v>
      </c>
      <c r="E92" s="52">
        <f t="shared" si="45"/>
        <v>0</v>
      </c>
      <c r="F92" s="52">
        <f t="shared" si="45"/>
        <v>0</v>
      </c>
      <c r="G92" s="52">
        <f t="shared" si="45"/>
        <v>0</v>
      </c>
      <c r="H92" s="52">
        <f t="shared" si="45"/>
        <v>0</v>
      </c>
      <c r="I92" s="52">
        <f t="shared" si="45"/>
        <v>0</v>
      </c>
      <c r="J92" s="52">
        <f t="shared" si="45"/>
        <v>0</v>
      </c>
      <c r="K92" s="52">
        <f>K74</f>
        <v>0</v>
      </c>
      <c r="L92" s="52">
        <f>L74</f>
        <v>0</v>
      </c>
      <c r="M92" s="52">
        <f>M74</f>
        <v>0</v>
      </c>
      <c r="N92" s="52">
        <f>N74</f>
        <v>0</v>
      </c>
      <c r="O92" s="52">
        <f>O74</f>
        <v>0</v>
      </c>
    </row>
    <row r="93" spans="2:15" s="37" customFormat="1">
      <c r="B93" s="51"/>
      <c r="C93" s="52"/>
      <c r="D93" s="52"/>
      <c r="E93" s="52"/>
      <c r="F93" s="52"/>
      <c r="G93" s="52"/>
      <c r="H93" s="52"/>
      <c r="I93" s="52"/>
      <c r="J93" s="52"/>
      <c r="K93" s="52"/>
      <c r="L93" s="52"/>
      <c r="M93" s="52"/>
      <c r="N93" s="52"/>
      <c r="O93" s="52"/>
    </row>
    <row r="94" spans="2:15" s="37" customFormat="1">
      <c r="B94" s="51"/>
      <c r="C94" s="52"/>
      <c r="D94" s="54"/>
      <c r="E94" s="54"/>
      <c r="F94" s="54"/>
      <c r="G94" s="54"/>
      <c r="H94" s="54"/>
      <c r="I94" s="54"/>
      <c r="J94" s="54"/>
      <c r="K94" s="54"/>
      <c r="L94" s="54"/>
      <c r="M94" s="54"/>
      <c r="N94" s="54"/>
      <c r="O94" s="54"/>
    </row>
    <row r="95" spans="2:15" s="37" customFormat="1">
      <c r="B95" s="49">
        <v>30</v>
      </c>
      <c r="C95" s="50">
        <v>2022</v>
      </c>
      <c r="D95" s="50">
        <v>2023</v>
      </c>
      <c r="E95" s="50">
        <v>2024</v>
      </c>
      <c r="F95" s="50">
        <v>2025</v>
      </c>
      <c r="G95" s="50">
        <v>2026</v>
      </c>
      <c r="H95" s="50">
        <v>2027</v>
      </c>
      <c r="I95" s="50">
        <v>2028</v>
      </c>
      <c r="J95" s="50">
        <v>2029</v>
      </c>
      <c r="K95" s="50">
        <v>2030</v>
      </c>
      <c r="L95" s="50">
        <v>2031</v>
      </c>
      <c r="M95" s="50">
        <v>2032</v>
      </c>
      <c r="N95" s="50">
        <v>2033</v>
      </c>
      <c r="O95" s="50">
        <v>2033</v>
      </c>
    </row>
    <row r="96" spans="2:15" s="37" customFormat="1" ht="16">
      <c r="B96" s="51" t="s">
        <v>105</v>
      </c>
      <c r="C96" s="54"/>
      <c r="D96" s="54">
        <f>Supuestos!F43</f>
        <v>0</v>
      </c>
      <c r="E96" s="54">
        <f>Supuestos!G43</f>
        <v>0</v>
      </c>
      <c r="F96" s="54">
        <f>Supuestos!H43</f>
        <v>0</v>
      </c>
      <c r="G96" s="54">
        <f>Supuestos!I43</f>
        <v>0</v>
      </c>
      <c r="H96" s="54">
        <f>Supuestos!J43</f>
        <v>0</v>
      </c>
      <c r="I96" s="54">
        <f>Supuestos!K43</f>
        <v>0</v>
      </c>
      <c r="J96" s="54">
        <f>Supuestos!L43</f>
        <v>0</v>
      </c>
      <c r="K96" s="54">
        <f>Supuestos!M43</f>
        <v>0</v>
      </c>
      <c r="L96" s="54">
        <f>Supuestos!N43</f>
        <v>0</v>
      </c>
      <c r="M96" s="54">
        <f>Supuestos!O43</f>
        <v>0</v>
      </c>
      <c r="N96" s="54">
        <f>Supuestos!P43</f>
        <v>0</v>
      </c>
      <c r="O96" s="54">
        <f>Supuestos!Q43</f>
        <v>0</v>
      </c>
    </row>
    <row r="97" spans="2:15" s="37" customFormat="1" ht="16">
      <c r="B97" s="51" t="s">
        <v>89</v>
      </c>
      <c r="C97" s="61"/>
      <c r="D97" s="61">
        <f>Supuestos!F44</f>
        <v>0</v>
      </c>
      <c r="E97" s="61">
        <f>Supuestos!G44</f>
        <v>0</v>
      </c>
      <c r="F97" s="61">
        <f>Supuestos!H44</f>
        <v>0</v>
      </c>
      <c r="G97" s="61">
        <f>Supuestos!I44</f>
        <v>0</v>
      </c>
      <c r="H97" s="61">
        <f>Supuestos!J44</f>
        <v>0</v>
      </c>
      <c r="I97" s="61">
        <f>Supuestos!K44</f>
        <v>0</v>
      </c>
      <c r="J97" s="61">
        <f>Supuestos!L44</f>
        <v>0</v>
      </c>
      <c r="K97" s="61">
        <f>Supuestos!M44</f>
        <v>0</v>
      </c>
      <c r="L97" s="61">
        <f>Supuestos!N44</f>
        <v>0</v>
      </c>
      <c r="M97" s="61">
        <f>Supuestos!O44</f>
        <v>0</v>
      </c>
      <c r="N97" s="61">
        <f>Supuestos!P44</f>
        <v>0</v>
      </c>
      <c r="O97" s="61">
        <f>Supuestos!Q44</f>
        <v>0</v>
      </c>
    </row>
    <row r="98" spans="2:15" s="37" customFormat="1" ht="16">
      <c r="B98" s="51" t="s">
        <v>90</v>
      </c>
      <c r="C98" s="55"/>
      <c r="D98" s="55">
        <f>Supuestos!F45</f>
        <v>30</v>
      </c>
      <c r="E98" s="55">
        <f>Supuestos!G45</f>
        <v>30</v>
      </c>
      <c r="F98" s="55">
        <f>Supuestos!H45</f>
        <v>30</v>
      </c>
      <c r="G98" s="55">
        <f>Supuestos!I45</f>
        <v>30</v>
      </c>
      <c r="H98" s="55">
        <f>Supuestos!J45</f>
        <v>30</v>
      </c>
      <c r="I98" s="55">
        <f>Supuestos!K45</f>
        <v>30</v>
      </c>
      <c r="J98" s="55">
        <f>Supuestos!L45</f>
        <v>30</v>
      </c>
      <c r="K98" s="55">
        <f>Supuestos!M45</f>
        <v>30</v>
      </c>
      <c r="L98" s="55">
        <f>Supuestos!N45</f>
        <v>30</v>
      </c>
      <c r="M98" s="55">
        <f>Supuestos!O45</f>
        <v>30</v>
      </c>
      <c r="N98" s="55">
        <f>Supuestos!P45</f>
        <v>30</v>
      </c>
      <c r="O98" s="55">
        <f>Supuestos!Q45</f>
        <v>30</v>
      </c>
    </row>
    <row r="99" spans="2:15" s="37" customFormat="1" ht="16">
      <c r="B99" s="51" t="s">
        <v>79</v>
      </c>
      <c r="C99" s="55"/>
      <c r="D99" s="55">
        <f t="shared" ref="D99:N99" si="46">D95+D98</f>
        <v>2053</v>
      </c>
      <c r="E99" s="55">
        <f t="shared" si="46"/>
        <v>2054</v>
      </c>
      <c r="F99" s="55">
        <f t="shared" si="46"/>
        <v>2055</v>
      </c>
      <c r="G99" s="55">
        <f t="shared" si="46"/>
        <v>2056</v>
      </c>
      <c r="H99" s="55">
        <f t="shared" si="46"/>
        <v>2057</v>
      </c>
      <c r="I99" s="55">
        <f t="shared" si="46"/>
        <v>2058</v>
      </c>
      <c r="J99" s="55">
        <f t="shared" si="46"/>
        <v>2059</v>
      </c>
      <c r="K99" s="55">
        <f t="shared" si="46"/>
        <v>2060</v>
      </c>
      <c r="L99" s="55">
        <f t="shared" si="46"/>
        <v>2061</v>
      </c>
      <c r="M99" s="55">
        <f t="shared" si="46"/>
        <v>2062</v>
      </c>
      <c r="N99" s="55">
        <f t="shared" si="46"/>
        <v>2063</v>
      </c>
      <c r="O99" s="55">
        <f t="shared" ref="O99" si="47">O95+O98</f>
        <v>2063</v>
      </c>
    </row>
    <row r="100" spans="2:15" s="37" customFormat="1" ht="16">
      <c r="B100" s="51" t="s">
        <v>107</v>
      </c>
      <c r="C100" s="61"/>
      <c r="D100" s="61">
        <f>Supuestos!F29</f>
        <v>0</v>
      </c>
      <c r="E100" s="61">
        <f>Supuestos!G29</f>
        <v>0</v>
      </c>
      <c r="F100" s="61">
        <f>Supuestos!H29</f>
        <v>0</v>
      </c>
      <c r="G100" s="61">
        <f>Supuestos!I29</f>
        <v>0</v>
      </c>
      <c r="H100" s="61">
        <f>Supuestos!J29</f>
        <v>0</v>
      </c>
      <c r="I100" s="61">
        <f>Supuestos!K29</f>
        <v>0</v>
      </c>
      <c r="J100" s="61">
        <f>Supuestos!L29</f>
        <v>0</v>
      </c>
      <c r="K100" s="61">
        <f>Supuestos!M29</f>
        <v>0</v>
      </c>
      <c r="L100" s="61">
        <f>Supuestos!N29</f>
        <v>0</v>
      </c>
      <c r="M100" s="61">
        <f>Supuestos!O29</f>
        <v>0</v>
      </c>
      <c r="N100" s="61">
        <f>Supuestos!P29</f>
        <v>0</v>
      </c>
      <c r="O100" s="61">
        <f>Supuestos!Q29</f>
        <v>0</v>
      </c>
    </row>
    <row r="101" spans="2:15" s="37" customFormat="1" ht="16">
      <c r="B101" s="51" t="s">
        <v>301</v>
      </c>
      <c r="C101" s="57"/>
      <c r="D101" s="57">
        <f t="shared" ref="D101:N101" si="48">D$3*D100</f>
        <v>0</v>
      </c>
      <c r="E101" s="57" t="e">
        <f t="shared" si="48"/>
        <v>#DIV/0!</v>
      </c>
      <c r="F101" s="57" t="e">
        <f t="shared" si="48"/>
        <v>#DIV/0!</v>
      </c>
      <c r="G101" s="57" t="e">
        <f t="shared" si="48"/>
        <v>#DIV/0!</v>
      </c>
      <c r="H101" s="57" t="e">
        <f t="shared" si="48"/>
        <v>#DIV/0!</v>
      </c>
      <c r="I101" s="57" t="e">
        <f t="shared" si="48"/>
        <v>#DIV/0!</v>
      </c>
      <c r="J101" s="57" t="e">
        <f t="shared" si="48"/>
        <v>#DIV/0!</v>
      </c>
      <c r="K101" s="57" t="e">
        <f t="shared" si="48"/>
        <v>#DIV/0!</v>
      </c>
      <c r="L101" s="57" t="e">
        <f t="shared" si="48"/>
        <v>#DIV/0!</v>
      </c>
      <c r="M101" s="57" t="e">
        <f t="shared" si="48"/>
        <v>#DIV/0!</v>
      </c>
      <c r="N101" s="57" t="e">
        <f t="shared" si="48"/>
        <v>#DIV/0!</v>
      </c>
      <c r="O101" s="57" t="e">
        <f t="shared" ref="O101" si="49">O$3*O100</f>
        <v>#DIV/0!</v>
      </c>
    </row>
    <row r="102" spans="2:15" s="37" customFormat="1" ht="16">
      <c r="B102" s="51" t="s">
        <v>40</v>
      </c>
      <c r="C102" s="57"/>
      <c r="D102" s="57">
        <f t="shared" ref="D102:N102" si="50">D$4*D100</f>
        <v>0</v>
      </c>
      <c r="E102" s="57">
        <f t="shared" si="50"/>
        <v>0</v>
      </c>
      <c r="F102" s="57">
        <f t="shared" si="50"/>
        <v>0</v>
      </c>
      <c r="G102" s="57">
        <f t="shared" si="50"/>
        <v>0</v>
      </c>
      <c r="H102" s="57">
        <f t="shared" si="50"/>
        <v>0</v>
      </c>
      <c r="I102" s="57">
        <f t="shared" si="50"/>
        <v>0</v>
      </c>
      <c r="J102" s="57">
        <f t="shared" si="50"/>
        <v>0</v>
      </c>
      <c r="K102" s="57">
        <f t="shared" si="50"/>
        <v>0</v>
      </c>
      <c r="L102" s="57">
        <f t="shared" si="50"/>
        <v>0</v>
      </c>
      <c r="M102" s="57">
        <f t="shared" si="50"/>
        <v>0</v>
      </c>
      <c r="N102" s="57">
        <f t="shared" si="50"/>
        <v>0</v>
      </c>
      <c r="O102" s="57">
        <f t="shared" ref="O102" si="51">O$4*O100</f>
        <v>0</v>
      </c>
    </row>
    <row r="103" spans="2:15" s="37" customFormat="1" ht="16">
      <c r="B103" s="58" t="s">
        <v>115</v>
      </c>
      <c r="C103" s="59"/>
      <c r="D103" s="59">
        <f t="shared" ref="D103:N103" si="52">SUM(D101:D102)</f>
        <v>0</v>
      </c>
      <c r="E103" s="59" t="e">
        <f t="shared" si="52"/>
        <v>#DIV/0!</v>
      </c>
      <c r="F103" s="59" t="e">
        <f t="shared" si="52"/>
        <v>#DIV/0!</v>
      </c>
      <c r="G103" s="59" t="e">
        <f t="shared" si="52"/>
        <v>#DIV/0!</v>
      </c>
      <c r="H103" s="59" t="e">
        <f t="shared" si="52"/>
        <v>#DIV/0!</v>
      </c>
      <c r="I103" s="59" t="e">
        <f t="shared" si="52"/>
        <v>#DIV/0!</v>
      </c>
      <c r="J103" s="59" t="e">
        <f t="shared" si="52"/>
        <v>#DIV/0!</v>
      </c>
      <c r="K103" s="59" t="e">
        <f t="shared" si="52"/>
        <v>#DIV/0!</v>
      </c>
      <c r="L103" s="59" t="e">
        <f t="shared" si="52"/>
        <v>#DIV/0!</v>
      </c>
      <c r="M103" s="59" t="e">
        <f t="shared" si="52"/>
        <v>#DIV/0!</v>
      </c>
      <c r="N103" s="59" t="e">
        <f t="shared" si="52"/>
        <v>#DIV/0!</v>
      </c>
      <c r="O103" s="59" t="e">
        <f t="shared" ref="O103" si="53">SUM(O101:O102)</f>
        <v>#DIV/0!</v>
      </c>
    </row>
    <row r="104" spans="2:15" s="37" customFormat="1">
      <c r="B104" s="51"/>
      <c r="C104" s="57"/>
      <c r="D104" s="57"/>
      <c r="E104" s="57"/>
      <c r="F104" s="57"/>
      <c r="G104" s="57"/>
      <c r="H104" s="57"/>
      <c r="I104" s="57"/>
      <c r="J104" s="57"/>
      <c r="K104" s="57"/>
      <c r="L104" s="57"/>
      <c r="M104" s="57"/>
      <c r="N104" s="57"/>
      <c r="O104" s="57"/>
    </row>
    <row r="105" spans="2:15" s="37" customFormat="1" ht="16">
      <c r="B105" s="51" t="s">
        <v>112</v>
      </c>
      <c r="C105" s="52"/>
      <c r="D105" s="52">
        <f>+NPV(D97,D107:D136,(D137+D103))-D103</f>
        <v>0</v>
      </c>
      <c r="E105" s="52" t="e">
        <f t="shared" ref="E105:N105" si="54">+NPV(E97,E107:E136,(E137+E103))-E103</f>
        <v>#DIV/0!</v>
      </c>
      <c r="F105" s="52" t="e">
        <f t="shared" si="54"/>
        <v>#DIV/0!</v>
      </c>
      <c r="G105" s="52" t="e">
        <f t="shared" si="54"/>
        <v>#DIV/0!</v>
      </c>
      <c r="H105" s="52" t="e">
        <f t="shared" si="54"/>
        <v>#DIV/0!</v>
      </c>
      <c r="I105" s="52" t="e">
        <f t="shared" si="54"/>
        <v>#DIV/0!</v>
      </c>
      <c r="J105" s="52" t="e">
        <f t="shared" si="54"/>
        <v>#DIV/0!</v>
      </c>
      <c r="K105" s="52" t="e">
        <f t="shared" si="54"/>
        <v>#DIV/0!</v>
      </c>
      <c r="L105" s="52" t="e">
        <f t="shared" si="54"/>
        <v>#DIV/0!</v>
      </c>
      <c r="M105" s="52" t="e">
        <f t="shared" si="54"/>
        <v>#DIV/0!</v>
      </c>
      <c r="N105" s="52" t="e">
        <f t="shared" si="54"/>
        <v>#DIV/0!</v>
      </c>
      <c r="O105" s="52" t="e">
        <f t="shared" ref="O105" si="55">+NPV(O97,O107:O136,(O137+O103))-O103</f>
        <v>#DIV/0!</v>
      </c>
    </row>
    <row r="106" spans="2:15" s="37" customFormat="1">
      <c r="B106" s="51"/>
    </row>
    <row r="107" spans="2:15" s="37" customFormat="1">
      <c r="B107" s="51">
        <v>0</v>
      </c>
      <c r="C107" s="52"/>
      <c r="D107" s="52"/>
      <c r="E107" s="52"/>
      <c r="F107" s="52"/>
      <c r="G107" s="52"/>
      <c r="H107" s="52"/>
      <c r="I107" s="52"/>
      <c r="J107" s="52"/>
      <c r="K107" s="52"/>
      <c r="L107" s="52"/>
      <c r="M107" s="52"/>
      <c r="N107" s="52"/>
      <c r="O107" s="52"/>
    </row>
    <row r="108" spans="2:15" s="37" customFormat="1">
      <c r="B108" s="51">
        <v>1</v>
      </c>
      <c r="C108" s="52"/>
      <c r="D108" s="52">
        <f>D$103*D$96</f>
        <v>0</v>
      </c>
      <c r="E108" s="52" t="e">
        <f t="shared" ref="E108:O108" si="56">E$103*E$96</f>
        <v>#DIV/0!</v>
      </c>
      <c r="F108" s="52" t="e">
        <f t="shared" si="56"/>
        <v>#DIV/0!</v>
      </c>
      <c r="G108" s="52" t="e">
        <f t="shared" si="56"/>
        <v>#DIV/0!</v>
      </c>
      <c r="H108" s="52" t="e">
        <f t="shared" si="56"/>
        <v>#DIV/0!</v>
      </c>
      <c r="I108" s="52" t="e">
        <f t="shared" si="56"/>
        <v>#DIV/0!</v>
      </c>
      <c r="J108" s="52" t="e">
        <f t="shared" si="56"/>
        <v>#DIV/0!</v>
      </c>
      <c r="K108" s="52" t="e">
        <f t="shared" si="56"/>
        <v>#DIV/0!</v>
      </c>
      <c r="L108" s="52" t="e">
        <f t="shared" si="56"/>
        <v>#DIV/0!</v>
      </c>
      <c r="M108" s="52" t="e">
        <f t="shared" si="56"/>
        <v>#DIV/0!</v>
      </c>
      <c r="N108" s="52" t="e">
        <f t="shared" si="56"/>
        <v>#DIV/0!</v>
      </c>
      <c r="O108" s="52" t="e">
        <f t="shared" si="56"/>
        <v>#DIV/0!</v>
      </c>
    </row>
    <row r="109" spans="2:15" s="37" customFormat="1">
      <c r="B109" s="51">
        <v>2</v>
      </c>
      <c r="C109" s="52"/>
      <c r="D109" s="52">
        <f t="shared" ref="D109:O137" si="57">D$103*D$96</f>
        <v>0</v>
      </c>
      <c r="E109" s="52" t="e">
        <f t="shared" si="57"/>
        <v>#DIV/0!</v>
      </c>
      <c r="F109" s="52" t="e">
        <f t="shared" si="57"/>
        <v>#DIV/0!</v>
      </c>
      <c r="G109" s="52" t="e">
        <f t="shared" si="57"/>
        <v>#DIV/0!</v>
      </c>
      <c r="H109" s="52" t="e">
        <f t="shared" si="57"/>
        <v>#DIV/0!</v>
      </c>
      <c r="I109" s="52" t="e">
        <f t="shared" si="57"/>
        <v>#DIV/0!</v>
      </c>
      <c r="J109" s="52" t="e">
        <f t="shared" si="57"/>
        <v>#DIV/0!</v>
      </c>
      <c r="K109" s="52" t="e">
        <f t="shared" si="57"/>
        <v>#DIV/0!</v>
      </c>
      <c r="L109" s="52" t="e">
        <f t="shared" si="57"/>
        <v>#DIV/0!</v>
      </c>
      <c r="M109" s="52" t="e">
        <f t="shared" si="57"/>
        <v>#DIV/0!</v>
      </c>
      <c r="N109" s="52" t="e">
        <f t="shared" si="57"/>
        <v>#DIV/0!</v>
      </c>
      <c r="O109" s="52" t="e">
        <f t="shared" si="57"/>
        <v>#DIV/0!</v>
      </c>
    </row>
    <row r="110" spans="2:15" s="37" customFormat="1">
      <c r="B110" s="51">
        <v>3</v>
      </c>
      <c r="C110" s="52"/>
      <c r="D110" s="52">
        <f t="shared" si="57"/>
        <v>0</v>
      </c>
      <c r="E110" s="52" t="e">
        <f t="shared" si="57"/>
        <v>#DIV/0!</v>
      </c>
      <c r="F110" s="52" t="e">
        <f t="shared" si="57"/>
        <v>#DIV/0!</v>
      </c>
      <c r="G110" s="52" t="e">
        <f t="shared" si="57"/>
        <v>#DIV/0!</v>
      </c>
      <c r="H110" s="52" t="e">
        <f t="shared" si="57"/>
        <v>#DIV/0!</v>
      </c>
      <c r="I110" s="52" t="e">
        <f t="shared" si="57"/>
        <v>#DIV/0!</v>
      </c>
      <c r="J110" s="52" t="e">
        <f t="shared" si="57"/>
        <v>#DIV/0!</v>
      </c>
      <c r="K110" s="52" t="e">
        <f t="shared" si="57"/>
        <v>#DIV/0!</v>
      </c>
      <c r="L110" s="52" t="e">
        <f t="shared" si="57"/>
        <v>#DIV/0!</v>
      </c>
      <c r="M110" s="52" t="e">
        <f t="shared" si="57"/>
        <v>#DIV/0!</v>
      </c>
      <c r="N110" s="52" t="e">
        <f t="shared" si="57"/>
        <v>#DIV/0!</v>
      </c>
      <c r="O110" s="52" t="e">
        <f t="shared" si="57"/>
        <v>#DIV/0!</v>
      </c>
    </row>
    <row r="111" spans="2:15" s="37" customFormat="1">
      <c r="B111" s="51">
        <v>4</v>
      </c>
      <c r="C111" s="52"/>
      <c r="D111" s="52">
        <f t="shared" si="57"/>
        <v>0</v>
      </c>
      <c r="E111" s="52" t="e">
        <f t="shared" si="57"/>
        <v>#DIV/0!</v>
      </c>
      <c r="F111" s="52" t="e">
        <f t="shared" si="57"/>
        <v>#DIV/0!</v>
      </c>
      <c r="G111" s="52" t="e">
        <f t="shared" si="57"/>
        <v>#DIV/0!</v>
      </c>
      <c r="H111" s="52" t="e">
        <f t="shared" si="57"/>
        <v>#DIV/0!</v>
      </c>
      <c r="I111" s="52" t="e">
        <f t="shared" si="57"/>
        <v>#DIV/0!</v>
      </c>
      <c r="J111" s="52" t="e">
        <f t="shared" si="57"/>
        <v>#DIV/0!</v>
      </c>
      <c r="K111" s="52" t="e">
        <f t="shared" si="57"/>
        <v>#DIV/0!</v>
      </c>
      <c r="L111" s="52" t="e">
        <f t="shared" si="57"/>
        <v>#DIV/0!</v>
      </c>
      <c r="M111" s="52" t="e">
        <f t="shared" si="57"/>
        <v>#DIV/0!</v>
      </c>
      <c r="N111" s="52" t="e">
        <f t="shared" si="57"/>
        <v>#DIV/0!</v>
      </c>
      <c r="O111" s="52" t="e">
        <f t="shared" si="57"/>
        <v>#DIV/0!</v>
      </c>
    </row>
    <row r="112" spans="2:15" s="37" customFormat="1">
      <c r="B112" s="51">
        <v>5</v>
      </c>
      <c r="C112" s="52"/>
      <c r="D112" s="52">
        <f t="shared" si="57"/>
        <v>0</v>
      </c>
      <c r="E112" s="52" t="e">
        <f t="shared" si="57"/>
        <v>#DIV/0!</v>
      </c>
      <c r="F112" s="52" t="e">
        <f t="shared" si="57"/>
        <v>#DIV/0!</v>
      </c>
      <c r="G112" s="52" t="e">
        <f t="shared" si="57"/>
        <v>#DIV/0!</v>
      </c>
      <c r="H112" s="52" t="e">
        <f t="shared" si="57"/>
        <v>#DIV/0!</v>
      </c>
      <c r="I112" s="52" t="e">
        <f t="shared" si="57"/>
        <v>#DIV/0!</v>
      </c>
      <c r="J112" s="52" t="e">
        <f t="shared" si="57"/>
        <v>#DIV/0!</v>
      </c>
      <c r="K112" s="52" t="e">
        <f t="shared" si="57"/>
        <v>#DIV/0!</v>
      </c>
      <c r="L112" s="52" t="e">
        <f t="shared" si="57"/>
        <v>#DIV/0!</v>
      </c>
      <c r="M112" s="52" t="e">
        <f t="shared" si="57"/>
        <v>#DIV/0!</v>
      </c>
      <c r="N112" s="52" t="e">
        <f t="shared" si="57"/>
        <v>#DIV/0!</v>
      </c>
      <c r="O112" s="52" t="e">
        <f t="shared" si="57"/>
        <v>#DIV/0!</v>
      </c>
    </row>
    <row r="113" spans="2:15" s="37" customFormat="1">
      <c r="B113" s="51">
        <v>6</v>
      </c>
      <c r="C113" s="52"/>
      <c r="D113" s="52">
        <f t="shared" si="57"/>
        <v>0</v>
      </c>
      <c r="E113" s="52" t="e">
        <f t="shared" si="57"/>
        <v>#DIV/0!</v>
      </c>
      <c r="F113" s="52" t="e">
        <f t="shared" si="57"/>
        <v>#DIV/0!</v>
      </c>
      <c r="G113" s="52" t="e">
        <f t="shared" si="57"/>
        <v>#DIV/0!</v>
      </c>
      <c r="H113" s="52" t="e">
        <f t="shared" si="57"/>
        <v>#DIV/0!</v>
      </c>
      <c r="I113" s="52" t="e">
        <f t="shared" si="57"/>
        <v>#DIV/0!</v>
      </c>
      <c r="J113" s="52" t="e">
        <f t="shared" si="57"/>
        <v>#DIV/0!</v>
      </c>
      <c r="K113" s="52" t="e">
        <f t="shared" si="57"/>
        <v>#DIV/0!</v>
      </c>
      <c r="L113" s="52" t="e">
        <f t="shared" si="57"/>
        <v>#DIV/0!</v>
      </c>
      <c r="M113" s="52" t="e">
        <f t="shared" si="57"/>
        <v>#DIV/0!</v>
      </c>
      <c r="N113" s="52" t="e">
        <f t="shared" si="57"/>
        <v>#DIV/0!</v>
      </c>
      <c r="O113" s="52" t="e">
        <f t="shared" si="57"/>
        <v>#DIV/0!</v>
      </c>
    </row>
    <row r="114" spans="2:15" s="37" customFormat="1">
      <c r="B114" s="51">
        <v>7</v>
      </c>
      <c r="C114" s="52"/>
      <c r="D114" s="52">
        <f t="shared" si="57"/>
        <v>0</v>
      </c>
      <c r="E114" s="52" t="e">
        <f t="shared" si="57"/>
        <v>#DIV/0!</v>
      </c>
      <c r="F114" s="52" t="e">
        <f t="shared" si="57"/>
        <v>#DIV/0!</v>
      </c>
      <c r="G114" s="52" t="e">
        <f t="shared" si="57"/>
        <v>#DIV/0!</v>
      </c>
      <c r="H114" s="52" t="e">
        <f t="shared" si="57"/>
        <v>#DIV/0!</v>
      </c>
      <c r="I114" s="52" t="e">
        <f t="shared" si="57"/>
        <v>#DIV/0!</v>
      </c>
      <c r="J114" s="52" t="e">
        <f t="shared" si="57"/>
        <v>#DIV/0!</v>
      </c>
      <c r="K114" s="52" t="e">
        <f t="shared" si="57"/>
        <v>#DIV/0!</v>
      </c>
      <c r="L114" s="52" t="e">
        <f t="shared" si="57"/>
        <v>#DIV/0!</v>
      </c>
      <c r="M114" s="52" t="e">
        <f t="shared" si="57"/>
        <v>#DIV/0!</v>
      </c>
      <c r="N114" s="52" t="e">
        <f t="shared" si="57"/>
        <v>#DIV/0!</v>
      </c>
      <c r="O114" s="52" t="e">
        <f t="shared" si="57"/>
        <v>#DIV/0!</v>
      </c>
    </row>
    <row r="115" spans="2:15" s="37" customFormat="1">
      <c r="B115" s="51">
        <v>8</v>
      </c>
      <c r="C115" s="52"/>
      <c r="D115" s="52">
        <f t="shared" si="57"/>
        <v>0</v>
      </c>
      <c r="E115" s="52" t="e">
        <f t="shared" si="57"/>
        <v>#DIV/0!</v>
      </c>
      <c r="F115" s="52" t="e">
        <f t="shared" si="57"/>
        <v>#DIV/0!</v>
      </c>
      <c r="G115" s="52" t="e">
        <f t="shared" si="57"/>
        <v>#DIV/0!</v>
      </c>
      <c r="H115" s="52" t="e">
        <f t="shared" si="57"/>
        <v>#DIV/0!</v>
      </c>
      <c r="I115" s="52" t="e">
        <f t="shared" si="57"/>
        <v>#DIV/0!</v>
      </c>
      <c r="J115" s="52" t="e">
        <f t="shared" si="57"/>
        <v>#DIV/0!</v>
      </c>
      <c r="K115" s="52" t="e">
        <f t="shared" si="57"/>
        <v>#DIV/0!</v>
      </c>
      <c r="L115" s="52" t="e">
        <f t="shared" si="57"/>
        <v>#DIV/0!</v>
      </c>
      <c r="M115" s="52" t="e">
        <f t="shared" si="57"/>
        <v>#DIV/0!</v>
      </c>
      <c r="N115" s="52" t="e">
        <f t="shared" si="57"/>
        <v>#DIV/0!</v>
      </c>
      <c r="O115" s="52" t="e">
        <f t="shared" si="57"/>
        <v>#DIV/0!</v>
      </c>
    </row>
    <row r="116" spans="2:15" s="37" customFormat="1">
      <c r="B116" s="51">
        <v>9</v>
      </c>
      <c r="C116" s="52"/>
      <c r="D116" s="52">
        <f t="shared" si="57"/>
        <v>0</v>
      </c>
      <c r="E116" s="52" t="e">
        <f t="shared" si="57"/>
        <v>#DIV/0!</v>
      </c>
      <c r="F116" s="52" t="e">
        <f t="shared" si="57"/>
        <v>#DIV/0!</v>
      </c>
      <c r="G116" s="52" t="e">
        <f t="shared" si="57"/>
        <v>#DIV/0!</v>
      </c>
      <c r="H116" s="52" t="e">
        <f t="shared" si="57"/>
        <v>#DIV/0!</v>
      </c>
      <c r="I116" s="52" t="e">
        <f t="shared" si="57"/>
        <v>#DIV/0!</v>
      </c>
      <c r="J116" s="52" t="e">
        <f t="shared" si="57"/>
        <v>#DIV/0!</v>
      </c>
      <c r="K116" s="52" t="e">
        <f t="shared" si="57"/>
        <v>#DIV/0!</v>
      </c>
      <c r="L116" s="52" t="e">
        <f t="shared" si="57"/>
        <v>#DIV/0!</v>
      </c>
      <c r="M116" s="52" t="e">
        <f t="shared" si="57"/>
        <v>#DIV/0!</v>
      </c>
      <c r="N116" s="52" t="e">
        <f t="shared" si="57"/>
        <v>#DIV/0!</v>
      </c>
      <c r="O116" s="52" t="e">
        <f t="shared" si="57"/>
        <v>#DIV/0!</v>
      </c>
    </row>
    <row r="117" spans="2:15" s="37" customFormat="1">
      <c r="B117" s="51">
        <v>10</v>
      </c>
      <c r="C117" s="52"/>
      <c r="D117" s="52">
        <f t="shared" si="57"/>
        <v>0</v>
      </c>
      <c r="E117" s="52" t="e">
        <f t="shared" si="57"/>
        <v>#DIV/0!</v>
      </c>
      <c r="F117" s="52" t="e">
        <f t="shared" si="57"/>
        <v>#DIV/0!</v>
      </c>
      <c r="G117" s="52" t="e">
        <f t="shared" si="57"/>
        <v>#DIV/0!</v>
      </c>
      <c r="H117" s="52" t="e">
        <f t="shared" si="57"/>
        <v>#DIV/0!</v>
      </c>
      <c r="I117" s="52" t="e">
        <f t="shared" si="57"/>
        <v>#DIV/0!</v>
      </c>
      <c r="J117" s="52" t="e">
        <f t="shared" si="57"/>
        <v>#DIV/0!</v>
      </c>
      <c r="K117" s="52" t="e">
        <f t="shared" si="57"/>
        <v>#DIV/0!</v>
      </c>
      <c r="L117" s="52" t="e">
        <f t="shared" si="57"/>
        <v>#DIV/0!</v>
      </c>
      <c r="M117" s="52" t="e">
        <f t="shared" si="57"/>
        <v>#DIV/0!</v>
      </c>
      <c r="N117" s="52" t="e">
        <f t="shared" si="57"/>
        <v>#DIV/0!</v>
      </c>
      <c r="O117" s="52" t="e">
        <f t="shared" si="57"/>
        <v>#DIV/0!</v>
      </c>
    </row>
    <row r="118" spans="2:15" s="37" customFormat="1">
      <c r="B118" s="51">
        <v>11</v>
      </c>
      <c r="C118" s="52"/>
      <c r="D118" s="52">
        <f t="shared" si="57"/>
        <v>0</v>
      </c>
      <c r="E118" s="52" t="e">
        <f t="shared" si="57"/>
        <v>#DIV/0!</v>
      </c>
      <c r="F118" s="52" t="e">
        <f t="shared" si="57"/>
        <v>#DIV/0!</v>
      </c>
      <c r="G118" s="52" t="e">
        <f t="shared" si="57"/>
        <v>#DIV/0!</v>
      </c>
      <c r="H118" s="52" t="e">
        <f t="shared" si="57"/>
        <v>#DIV/0!</v>
      </c>
      <c r="I118" s="52" t="e">
        <f t="shared" si="57"/>
        <v>#DIV/0!</v>
      </c>
      <c r="J118" s="52" t="e">
        <f t="shared" si="57"/>
        <v>#DIV/0!</v>
      </c>
      <c r="K118" s="52" t="e">
        <f t="shared" si="57"/>
        <v>#DIV/0!</v>
      </c>
      <c r="L118" s="52" t="e">
        <f t="shared" si="57"/>
        <v>#DIV/0!</v>
      </c>
      <c r="M118" s="52" t="e">
        <f t="shared" si="57"/>
        <v>#DIV/0!</v>
      </c>
      <c r="N118" s="52" t="e">
        <f t="shared" si="57"/>
        <v>#DIV/0!</v>
      </c>
      <c r="O118" s="52" t="e">
        <f t="shared" si="57"/>
        <v>#DIV/0!</v>
      </c>
    </row>
    <row r="119" spans="2:15" s="37" customFormat="1">
      <c r="B119" s="51">
        <v>12</v>
      </c>
      <c r="C119" s="52"/>
      <c r="D119" s="52">
        <f t="shared" si="57"/>
        <v>0</v>
      </c>
      <c r="E119" s="52" t="e">
        <f t="shared" si="57"/>
        <v>#DIV/0!</v>
      </c>
      <c r="F119" s="52" t="e">
        <f t="shared" si="57"/>
        <v>#DIV/0!</v>
      </c>
      <c r="G119" s="52" t="e">
        <f t="shared" si="57"/>
        <v>#DIV/0!</v>
      </c>
      <c r="H119" s="52" t="e">
        <f t="shared" si="57"/>
        <v>#DIV/0!</v>
      </c>
      <c r="I119" s="52" t="e">
        <f t="shared" si="57"/>
        <v>#DIV/0!</v>
      </c>
      <c r="J119" s="52" t="e">
        <f t="shared" si="57"/>
        <v>#DIV/0!</v>
      </c>
      <c r="K119" s="52" t="e">
        <f t="shared" si="57"/>
        <v>#DIV/0!</v>
      </c>
      <c r="L119" s="52" t="e">
        <f t="shared" si="57"/>
        <v>#DIV/0!</v>
      </c>
      <c r="M119" s="52" t="e">
        <f t="shared" si="57"/>
        <v>#DIV/0!</v>
      </c>
      <c r="N119" s="52" t="e">
        <f t="shared" si="57"/>
        <v>#DIV/0!</v>
      </c>
      <c r="O119" s="52" t="e">
        <f t="shared" si="57"/>
        <v>#DIV/0!</v>
      </c>
    </row>
    <row r="120" spans="2:15" s="37" customFormat="1">
      <c r="B120" s="51">
        <v>13</v>
      </c>
      <c r="C120" s="52"/>
      <c r="D120" s="52">
        <f t="shared" si="57"/>
        <v>0</v>
      </c>
      <c r="E120" s="52" t="e">
        <f t="shared" si="57"/>
        <v>#DIV/0!</v>
      </c>
      <c r="F120" s="52" t="e">
        <f t="shared" si="57"/>
        <v>#DIV/0!</v>
      </c>
      <c r="G120" s="52" t="e">
        <f t="shared" si="57"/>
        <v>#DIV/0!</v>
      </c>
      <c r="H120" s="52" t="e">
        <f t="shared" si="57"/>
        <v>#DIV/0!</v>
      </c>
      <c r="I120" s="52" t="e">
        <f t="shared" si="57"/>
        <v>#DIV/0!</v>
      </c>
      <c r="J120" s="52" t="e">
        <f t="shared" si="57"/>
        <v>#DIV/0!</v>
      </c>
      <c r="K120" s="52" t="e">
        <f t="shared" si="57"/>
        <v>#DIV/0!</v>
      </c>
      <c r="L120" s="52" t="e">
        <f t="shared" si="57"/>
        <v>#DIV/0!</v>
      </c>
      <c r="M120" s="52" t="e">
        <f t="shared" si="57"/>
        <v>#DIV/0!</v>
      </c>
      <c r="N120" s="52" t="e">
        <f t="shared" si="57"/>
        <v>#DIV/0!</v>
      </c>
      <c r="O120" s="52" t="e">
        <f t="shared" si="57"/>
        <v>#DIV/0!</v>
      </c>
    </row>
    <row r="121" spans="2:15" s="37" customFormat="1">
      <c r="B121" s="51">
        <v>14</v>
      </c>
      <c r="C121" s="52"/>
      <c r="D121" s="52">
        <f t="shared" si="57"/>
        <v>0</v>
      </c>
      <c r="E121" s="52" t="e">
        <f t="shared" si="57"/>
        <v>#DIV/0!</v>
      </c>
      <c r="F121" s="52" t="e">
        <f t="shared" si="57"/>
        <v>#DIV/0!</v>
      </c>
      <c r="G121" s="52" t="e">
        <f t="shared" si="57"/>
        <v>#DIV/0!</v>
      </c>
      <c r="H121" s="52" t="e">
        <f t="shared" si="57"/>
        <v>#DIV/0!</v>
      </c>
      <c r="I121" s="52" t="e">
        <f t="shared" si="57"/>
        <v>#DIV/0!</v>
      </c>
      <c r="J121" s="52" t="e">
        <f t="shared" si="57"/>
        <v>#DIV/0!</v>
      </c>
      <c r="K121" s="52" t="e">
        <f t="shared" si="57"/>
        <v>#DIV/0!</v>
      </c>
      <c r="L121" s="52" t="e">
        <f t="shared" si="57"/>
        <v>#DIV/0!</v>
      </c>
      <c r="M121" s="52" t="e">
        <f t="shared" si="57"/>
        <v>#DIV/0!</v>
      </c>
      <c r="N121" s="52" t="e">
        <f t="shared" si="57"/>
        <v>#DIV/0!</v>
      </c>
      <c r="O121" s="52" t="e">
        <f t="shared" si="57"/>
        <v>#DIV/0!</v>
      </c>
    </row>
    <row r="122" spans="2:15" s="37" customFormat="1">
      <c r="B122" s="51">
        <v>15</v>
      </c>
      <c r="C122" s="52"/>
      <c r="D122" s="52">
        <f t="shared" si="57"/>
        <v>0</v>
      </c>
      <c r="E122" s="52" t="e">
        <f t="shared" si="57"/>
        <v>#DIV/0!</v>
      </c>
      <c r="F122" s="52" t="e">
        <f t="shared" si="57"/>
        <v>#DIV/0!</v>
      </c>
      <c r="G122" s="52" t="e">
        <f t="shared" si="57"/>
        <v>#DIV/0!</v>
      </c>
      <c r="H122" s="52" t="e">
        <f t="shared" si="57"/>
        <v>#DIV/0!</v>
      </c>
      <c r="I122" s="52" t="e">
        <f t="shared" si="57"/>
        <v>#DIV/0!</v>
      </c>
      <c r="J122" s="52" t="e">
        <f t="shared" si="57"/>
        <v>#DIV/0!</v>
      </c>
      <c r="K122" s="52" t="e">
        <f t="shared" si="57"/>
        <v>#DIV/0!</v>
      </c>
      <c r="L122" s="52" t="e">
        <f t="shared" si="57"/>
        <v>#DIV/0!</v>
      </c>
      <c r="M122" s="52" t="e">
        <f t="shared" si="57"/>
        <v>#DIV/0!</v>
      </c>
      <c r="N122" s="52" t="e">
        <f t="shared" si="57"/>
        <v>#DIV/0!</v>
      </c>
      <c r="O122" s="52" t="e">
        <f t="shared" si="57"/>
        <v>#DIV/0!</v>
      </c>
    </row>
    <row r="123" spans="2:15" s="37" customFormat="1">
      <c r="B123" s="51">
        <v>16</v>
      </c>
      <c r="C123" s="52"/>
      <c r="D123" s="52">
        <f t="shared" si="57"/>
        <v>0</v>
      </c>
      <c r="E123" s="52" t="e">
        <f t="shared" si="57"/>
        <v>#DIV/0!</v>
      </c>
      <c r="F123" s="52" t="e">
        <f t="shared" si="57"/>
        <v>#DIV/0!</v>
      </c>
      <c r="G123" s="52" t="e">
        <f t="shared" si="57"/>
        <v>#DIV/0!</v>
      </c>
      <c r="H123" s="52" t="e">
        <f t="shared" si="57"/>
        <v>#DIV/0!</v>
      </c>
      <c r="I123" s="52" t="e">
        <f t="shared" si="57"/>
        <v>#DIV/0!</v>
      </c>
      <c r="J123" s="52" t="e">
        <f t="shared" si="57"/>
        <v>#DIV/0!</v>
      </c>
      <c r="K123" s="52" t="e">
        <f t="shared" si="57"/>
        <v>#DIV/0!</v>
      </c>
      <c r="L123" s="52" t="e">
        <f t="shared" si="57"/>
        <v>#DIV/0!</v>
      </c>
      <c r="M123" s="52" t="e">
        <f t="shared" si="57"/>
        <v>#DIV/0!</v>
      </c>
      <c r="N123" s="52" t="e">
        <f t="shared" si="57"/>
        <v>#DIV/0!</v>
      </c>
      <c r="O123" s="52" t="e">
        <f t="shared" si="57"/>
        <v>#DIV/0!</v>
      </c>
    </row>
    <row r="124" spans="2:15" s="37" customFormat="1">
      <c r="B124" s="51">
        <v>17</v>
      </c>
      <c r="C124" s="52"/>
      <c r="D124" s="52">
        <f t="shared" si="57"/>
        <v>0</v>
      </c>
      <c r="E124" s="52" t="e">
        <f t="shared" si="57"/>
        <v>#DIV/0!</v>
      </c>
      <c r="F124" s="52" t="e">
        <f t="shared" si="57"/>
        <v>#DIV/0!</v>
      </c>
      <c r="G124" s="52" t="e">
        <f t="shared" si="57"/>
        <v>#DIV/0!</v>
      </c>
      <c r="H124" s="52" t="e">
        <f t="shared" si="57"/>
        <v>#DIV/0!</v>
      </c>
      <c r="I124" s="52" t="e">
        <f t="shared" si="57"/>
        <v>#DIV/0!</v>
      </c>
      <c r="J124" s="52" t="e">
        <f t="shared" si="57"/>
        <v>#DIV/0!</v>
      </c>
      <c r="K124" s="52" t="e">
        <f t="shared" si="57"/>
        <v>#DIV/0!</v>
      </c>
      <c r="L124" s="52" t="e">
        <f t="shared" si="57"/>
        <v>#DIV/0!</v>
      </c>
      <c r="M124" s="52" t="e">
        <f t="shared" si="57"/>
        <v>#DIV/0!</v>
      </c>
      <c r="N124" s="52" t="e">
        <f t="shared" si="57"/>
        <v>#DIV/0!</v>
      </c>
      <c r="O124" s="52" t="e">
        <f t="shared" si="57"/>
        <v>#DIV/0!</v>
      </c>
    </row>
    <row r="125" spans="2:15" s="37" customFormat="1">
      <c r="B125" s="51">
        <v>18</v>
      </c>
      <c r="C125" s="52"/>
      <c r="D125" s="52">
        <f t="shared" si="57"/>
        <v>0</v>
      </c>
      <c r="E125" s="52" t="e">
        <f t="shared" si="57"/>
        <v>#DIV/0!</v>
      </c>
      <c r="F125" s="52" t="e">
        <f t="shared" si="57"/>
        <v>#DIV/0!</v>
      </c>
      <c r="G125" s="52" t="e">
        <f t="shared" si="57"/>
        <v>#DIV/0!</v>
      </c>
      <c r="H125" s="52" t="e">
        <f t="shared" si="57"/>
        <v>#DIV/0!</v>
      </c>
      <c r="I125" s="52" t="e">
        <f t="shared" si="57"/>
        <v>#DIV/0!</v>
      </c>
      <c r="J125" s="52" t="e">
        <f t="shared" si="57"/>
        <v>#DIV/0!</v>
      </c>
      <c r="K125" s="52" t="e">
        <f t="shared" si="57"/>
        <v>#DIV/0!</v>
      </c>
      <c r="L125" s="52" t="e">
        <f t="shared" si="57"/>
        <v>#DIV/0!</v>
      </c>
      <c r="M125" s="52" t="e">
        <f t="shared" si="57"/>
        <v>#DIV/0!</v>
      </c>
      <c r="N125" s="52" t="e">
        <f t="shared" si="57"/>
        <v>#DIV/0!</v>
      </c>
      <c r="O125" s="52" t="e">
        <f t="shared" si="57"/>
        <v>#DIV/0!</v>
      </c>
    </row>
    <row r="126" spans="2:15" s="37" customFormat="1">
      <c r="B126" s="51">
        <v>19</v>
      </c>
      <c r="C126" s="52"/>
      <c r="D126" s="52">
        <f t="shared" si="57"/>
        <v>0</v>
      </c>
      <c r="E126" s="52" t="e">
        <f t="shared" si="57"/>
        <v>#DIV/0!</v>
      </c>
      <c r="F126" s="52" t="e">
        <f t="shared" si="57"/>
        <v>#DIV/0!</v>
      </c>
      <c r="G126" s="52" t="e">
        <f t="shared" si="57"/>
        <v>#DIV/0!</v>
      </c>
      <c r="H126" s="52" t="e">
        <f t="shared" si="57"/>
        <v>#DIV/0!</v>
      </c>
      <c r="I126" s="52" t="e">
        <f t="shared" si="57"/>
        <v>#DIV/0!</v>
      </c>
      <c r="J126" s="52" t="e">
        <f t="shared" si="57"/>
        <v>#DIV/0!</v>
      </c>
      <c r="K126" s="52" t="e">
        <f t="shared" si="57"/>
        <v>#DIV/0!</v>
      </c>
      <c r="L126" s="52" t="e">
        <f t="shared" si="57"/>
        <v>#DIV/0!</v>
      </c>
      <c r="M126" s="52" t="e">
        <f t="shared" si="57"/>
        <v>#DIV/0!</v>
      </c>
      <c r="N126" s="52" t="e">
        <f t="shared" si="57"/>
        <v>#DIV/0!</v>
      </c>
      <c r="O126" s="52" t="e">
        <f t="shared" si="57"/>
        <v>#DIV/0!</v>
      </c>
    </row>
    <row r="127" spans="2:15" s="37" customFormat="1">
      <c r="B127" s="51">
        <v>20</v>
      </c>
      <c r="C127" s="52"/>
      <c r="D127" s="52">
        <f t="shared" si="57"/>
        <v>0</v>
      </c>
      <c r="E127" s="52" t="e">
        <f t="shared" si="57"/>
        <v>#DIV/0!</v>
      </c>
      <c r="F127" s="52" t="e">
        <f t="shared" si="57"/>
        <v>#DIV/0!</v>
      </c>
      <c r="G127" s="52" t="e">
        <f t="shared" si="57"/>
        <v>#DIV/0!</v>
      </c>
      <c r="H127" s="52" t="e">
        <f t="shared" si="57"/>
        <v>#DIV/0!</v>
      </c>
      <c r="I127" s="52" t="e">
        <f t="shared" si="57"/>
        <v>#DIV/0!</v>
      </c>
      <c r="J127" s="52" t="e">
        <f t="shared" si="57"/>
        <v>#DIV/0!</v>
      </c>
      <c r="K127" s="52" t="e">
        <f t="shared" si="57"/>
        <v>#DIV/0!</v>
      </c>
      <c r="L127" s="52" t="e">
        <f t="shared" ref="F127:O137" si="58">L$103*L$96</f>
        <v>#DIV/0!</v>
      </c>
      <c r="M127" s="52" t="e">
        <f t="shared" si="58"/>
        <v>#DIV/0!</v>
      </c>
      <c r="N127" s="52" t="e">
        <f t="shared" si="58"/>
        <v>#DIV/0!</v>
      </c>
      <c r="O127" s="52" t="e">
        <f t="shared" si="58"/>
        <v>#DIV/0!</v>
      </c>
    </row>
    <row r="128" spans="2:15" s="37" customFormat="1">
      <c r="B128" s="51">
        <v>21</v>
      </c>
      <c r="C128" s="52"/>
      <c r="D128" s="52">
        <f t="shared" si="57"/>
        <v>0</v>
      </c>
      <c r="E128" s="52" t="e">
        <f t="shared" si="57"/>
        <v>#DIV/0!</v>
      </c>
      <c r="F128" s="52" t="e">
        <f t="shared" si="58"/>
        <v>#DIV/0!</v>
      </c>
      <c r="G128" s="52" t="e">
        <f t="shared" si="58"/>
        <v>#DIV/0!</v>
      </c>
      <c r="H128" s="52" t="e">
        <f t="shared" si="58"/>
        <v>#DIV/0!</v>
      </c>
      <c r="I128" s="52" t="e">
        <f t="shared" si="58"/>
        <v>#DIV/0!</v>
      </c>
      <c r="J128" s="52" t="e">
        <f t="shared" si="58"/>
        <v>#DIV/0!</v>
      </c>
      <c r="K128" s="52" t="e">
        <f t="shared" si="58"/>
        <v>#DIV/0!</v>
      </c>
      <c r="L128" s="52" t="e">
        <f t="shared" si="58"/>
        <v>#DIV/0!</v>
      </c>
      <c r="M128" s="52" t="e">
        <f t="shared" si="58"/>
        <v>#DIV/0!</v>
      </c>
      <c r="N128" s="52" t="e">
        <f t="shared" si="58"/>
        <v>#DIV/0!</v>
      </c>
      <c r="O128" s="52" t="e">
        <f t="shared" si="58"/>
        <v>#DIV/0!</v>
      </c>
    </row>
    <row r="129" spans="2:47" s="37" customFormat="1">
      <c r="B129" s="51">
        <v>22</v>
      </c>
      <c r="C129" s="52"/>
      <c r="D129" s="52">
        <f t="shared" si="57"/>
        <v>0</v>
      </c>
      <c r="E129" s="52" t="e">
        <f t="shared" si="57"/>
        <v>#DIV/0!</v>
      </c>
      <c r="F129" s="52" t="e">
        <f t="shared" si="58"/>
        <v>#DIV/0!</v>
      </c>
      <c r="G129" s="52" t="e">
        <f t="shared" si="58"/>
        <v>#DIV/0!</v>
      </c>
      <c r="H129" s="52" t="e">
        <f t="shared" si="58"/>
        <v>#DIV/0!</v>
      </c>
      <c r="I129" s="52" t="e">
        <f t="shared" si="58"/>
        <v>#DIV/0!</v>
      </c>
      <c r="J129" s="52" t="e">
        <f t="shared" si="58"/>
        <v>#DIV/0!</v>
      </c>
      <c r="K129" s="52" t="e">
        <f t="shared" si="58"/>
        <v>#DIV/0!</v>
      </c>
      <c r="L129" s="52" t="e">
        <f t="shared" si="58"/>
        <v>#DIV/0!</v>
      </c>
      <c r="M129" s="52" t="e">
        <f t="shared" si="58"/>
        <v>#DIV/0!</v>
      </c>
      <c r="N129" s="52" t="e">
        <f t="shared" si="58"/>
        <v>#DIV/0!</v>
      </c>
      <c r="O129" s="52" t="e">
        <f t="shared" si="58"/>
        <v>#DIV/0!</v>
      </c>
    </row>
    <row r="130" spans="2:47" s="37" customFormat="1">
      <c r="B130" s="51">
        <v>23</v>
      </c>
      <c r="C130" s="52"/>
      <c r="D130" s="52">
        <f t="shared" si="57"/>
        <v>0</v>
      </c>
      <c r="E130" s="52" t="e">
        <f t="shared" si="57"/>
        <v>#DIV/0!</v>
      </c>
      <c r="F130" s="52" t="e">
        <f t="shared" si="58"/>
        <v>#DIV/0!</v>
      </c>
      <c r="G130" s="52" t="e">
        <f t="shared" si="58"/>
        <v>#DIV/0!</v>
      </c>
      <c r="H130" s="52" t="e">
        <f t="shared" si="58"/>
        <v>#DIV/0!</v>
      </c>
      <c r="I130" s="52" t="e">
        <f t="shared" si="58"/>
        <v>#DIV/0!</v>
      </c>
      <c r="J130" s="52" t="e">
        <f t="shared" si="58"/>
        <v>#DIV/0!</v>
      </c>
      <c r="K130" s="52" t="e">
        <f t="shared" si="58"/>
        <v>#DIV/0!</v>
      </c>
      <c r="L130" s="52" t="e">
        <f t="shared" si="58"/>
        <v>#DIV/0!</v>
      </c>
      <c r="M130" s="52" t="e">
        <f t="shared" si="58"/>
        <v>#DIV/0!</v>
      </c>
      <c r="N130" s="52" t="e">
        <f t="shared" si="58"/>
        <v>#DIV/0!</v>
      </c>
      <c r="O130" s="52" t="e">
        <f t="shared" si="58"/>
        <v>#DIV/0!</v>
      </c>
    </row>
    <row r="131" spans="2:47" s="37" customFormat="1">
      <c r="B131" s="51">
        <v>24</v>
      </c>
      <c r="C131" s="52"/>
      <c r="D131" s="52">
        <f t="shared" si="57"/>
        <v>0</v>
      </c>
      <c r="E131" s="52" t="e">
        <f t="shared" si="57"/>
        <v>#DIV/0!</v>
      </c>
      <c r="F131" s="52" t="e">
        <f t="shared" si="58"/>
        <v>#DIV/0!</v>
      </c>
      <c r="G131" s="52" t="e">
        <f t="shared" si="58"/>
        <v>#DIV/0!</v>
      </c>
      <c r="H131" s="52" t="e">
        <f t="shared" si="58"/>
        <v>#DIV/0!</v>
      </c>
      <c r="I131" s="52" t="e">
        <f t="shared" si="58"/>
        <v>#DIV/0!</v>
      </c>
      <c r="J131" s="52" t="e">
        <f t="shared" si="58"/>
        <v>#DIV/0!</v>
      </c>
      <c r="K131" s="52" t="e">
        <f t="shared" si="58"/>
        <v>#DIV/0!</v>
      </c>
      <c r="L131" s="52" t="e">
        <f t="shared" si="58"/>
        <v>#DIV/0!</v>
      </c>
      <c r="M131" s="52" t="e">
        <f t="shared" si="58"/>
        <v>#DIV/0!</v>
      </c>
      <c r="N131" s="52" t="e">
        <f t="shared" si="58"/>
        <v>#DIV/0!</v>
      </c>
      <c r="O131" s="52" t="e">
        <f t="shared" si="58"/>
        <v>#DIV/0!</v>
      </c>
    </row>
    <row r="132" spans="2:47" s="37" customFormat="1">
      <c r="B132" s="51">
        <v>25</v>
      </c>
      <c r="C132" s="52"/>
      <c r="D132" s="52">
        <f t="shared" si="57"/>
        <v>0</v>
      </c>
      <c r="E132" s="52" t="e">
        <f t="shared" si="57"/>
        <v>#DIV/0!</v>
      </c>
      <c r="F132" s="52" t="e">
        <f t="shared" si="58"/>
        <v>#DIV/0!</v>
      </c>
      <c r="G132" s="52" t="e">
        <f t="shared" si="58"/>
        <v>#DIV/0!</v>
      </c>
      <c r="H132" s="52" t="e">
        <f t="shared" si="58"/>
        <v>#DIV/0!</v>
      </c>
      <c r="I132" s="52" t="e">
        <f t="shared" si="58"/>
        <v>#DIV/0!</v>
      </c>
      <c r="J132" s="52" t="e">
        <f t="shared" si="58"/>
        <v>#DIV/0!</v>
      </c>
      <c r="K132" s="52" t="e">
        <f t="shared" si="58"/>
        <v>#DIV/0!</v>
      </c>
      <c r="L132" s="52" t="e">
        <f t="shared" si="58"/>
        <v>#DIV/0!</v>
      </c>
      <c r="M132" s="52" t="e">
        <f t="shared" si="58"/>
        <v>#DIV/0!</v>
      </c>
      <c r="N132" s="52" t="e">
        <f t="shared" si="58"/>
        <v>#DIV/0!</v>
      </c>
      <c r="O132" s="52" t="e">
        <f t="shared" si="58"/>
        <v>#DIV/0!</v>
      </c>
    </row>
    <row r="133" spans="2:47" s="37" customFormat="1">
      <c r="B133" s="51">
        <v>26</v>
      </c>
      <c r="C133" s="52"/>
      <c r="D133" s="52">
        <f t="shared" si="57"/>
        <v>0</v>
      </c>
      <c r="E133" s="52" t="e">
        <f t="shared" si="57"/>
        <v>#DIV/0!</v>
      </c>
      <c r="F133" s="52" t="e">
        <f t="shared" si="58"/>
        <v>#DIV/0!</v>
      </c>
      <c r="G133" s="52" t="e">
        <f t="shared" si="58"/>
        <v>#DIV/0!</v>
      </c>
      <c r="H133" s="52" t="e">
        <f t="shared" si="58"/>
        <v>#DIV/0!</v>
      </c>
      <c r="I133" s="52" t="e">
        <f t="shared" si="58"/>
        <v>#DIV/0!</v>
      </c>
      <c r="J133" s="52" t="e">
        <f t="shared" si="58"/>
        <v>#DIV/0!</v>
      </c>
      <c r="K133" s="52" t="e">
        <f t="shared" si="58"/>
        <v>#DIV/0!</v>
      </c>
      <c r="L133" s="52" t="e">
        <f t="shared" si="58"/>
        <v>#DIV/0!</v>
      </c>
      <c r="M133" s="52" t="e">
        <f t="shared" si="58"/>
        <v>#DIV/0!</v>
      </c>
      <c r="N133" s="52" t="e">
        <f t="shared" si="58"/>
        <v>#DIV/0!</v>
      </c>
      <c r="O133" s="52" t="e">
        <f t="shared" si="58"/>
        <v>#DIV/0!</v>
      </c>
    </row>
    <row r="134" spans="2:47" s="37" customFormat="1">
      <c r="B134" s="51">
        <v>27</v>
      </c>
      <c r="C134" s="52"/>
      <c r="D134" s="52">
        <f t="shared" si="57"/>
        <v>0</v>
      </c>
      <c r="E134" s="52" t="e">
        <f t="shared" si="57"/>
        <v>#DIV/0!</v>
      </c>
      <c r="F134" s="52" t="e">
        <f t="shared" si="58"/>
        <v>#DIV/0!</v>
      </c>
      <c r="G134" s="52" t="e">
        <f t="shared" si="58"/>
        <v>#DIV/0!</v>
      </c>
      <c r="H134" s="52" t="e">
        <f t="shared" si="58"/>
        <v>#DIV/0!</v>
      </c>
      <c r="I134" s="52" t="e">
        <f t="shared" si="58"/>
        <v>#DIV/0!</v>
      </c>
      <c r="J134" s="52" t="e">
        <f t="shared" si="58"/>
        <v>#DIV/0!</v>
      </c>
      <c r="K134" s="52" t="e">
        <f t="shared" si="58"/>
        <v>#DIV/0!</v>
      </c>
      <c r="L134" s="52" t="e">
        <f t="shared" si="58"/>
        <v>#DIV/0!</v>
      </c>
      <c r="M134" s="52" t="e">
        <f t="shared" si="58"/>
        <v>#DIV/0!</v>
      </c>
      <c r="N134" s="52" t="e">
        <f t="shared" si="58"/>
        <v>#DIV/0!</v>
      </c>
      <c r="O134" s="52" t="e">
        <f t="shared" si="58"/>
        <v>#DIV/0!</v>
      </c>
    </row>
    <row r="135" spans="2:47" s="37" customFormat="1">
      <c r="B135" s="51">
        <v>28</v>
      </c>
      <c r="C135" s="52"/>
      <c r="D135" s="52">
        <f t="shared" si="57"/>
        <v>0</v>
      </c>
      <c r="E135" s="52" t="e">
        <f t="shared" si="57"/>
        <v>#DIV/0!</v>
      </c>
      <c r="F135" s="52" t="e">
        <f t="shared" si="58"/>
        <v>#DIV/0!</v>
      </c>
      <c r="G135" s="52" t="e">
        <f t="shared" si="58"/>
        <v>#DIV/0!</v>
      </c>
      <c r="H135" s="52" t="e">
        <f t="shared" si="58"/>
        <v>#DIV/0!</v>
      </c>
      <c r="I135" s="52" t="e">
        <f t="shared" si="58"/>
        <v>#DIV/0!</v>
      </c>
      <c r="J135" s="52" t="e">
        <f t="shared" si="58"/>
        <v>#DIV/0!</v>
      </c>
      <c r="K135" s="52" t="e">
        <f t="shared" si="58"/>
        <v>#DIV/0!</v>
      </c>
      <c r="L135" s="52" t="e">
        <f t="shared" si="58"/>
        <v>#DIV/0!</v>
      </c>
      <c r="M135" s="52" t="e">
        <f t="shared" si="58"/>
        <v>#DIV/0!</v>
      </c>
      <c r="N135" s="52" t="e">
        <f t="shared" si="58"/>
        <v>#DIV/0!</v>
      </c>
      <c r="O135" s="52" t="e">
        <f t="shared" si="58"/>
        <v>#DIV/0!</v>
      </c>
    </row>
    <row r="136" spans="2:47" s="37" customFormat="1">
      <c r="B136" s="51">
        <v>29</v>
      </c>
      <c r="C136" s="52"/>
      <c r="D136" s="52">
        <f t="shared" si="57"/>
        <v>0</v>
      </c>
      <c r="E136" s="52" t="e">
        <f t="shared" si="57"/>
        <v>#DIV/0!</v>
      </c>
      <c r="F136" s="52" t="e">
        <f t="shared" si="58"/>
        <v>#DIV/0!</v>
      </c>
      <c r="G136" s="52" t="e">
        <f t="shared" si="58"/>
        <v>#DIV/0!</v>
      </c>
      <c r="H136" s="52" t="e">
        <f t="shared" si="58"/>
        <v>#DIV/0!</v>
      </c>
      <c r="I136" s="52" t="e">
        <f t="shared" si="58"/>
        <v>#DIV/0!</v>
      </c>
      <c r="J136" s="52" t="e">
        <f t="shared" si="58"/>
        <v>#DIV/0!</v>
      </c>
      <c r="K136" s="52" t="e">
        <f t="shared" si="58"/>
        <v>#DIV/0!</v>
      </c>
      <c r="L136" s="52" t="e">
        <f t="shared" si="58"/>
        <v>#DIV/0!</v>
      </c>
      <c r="M136" s="52" t="e">
        <f t="shared" si="58"/>
        <v>#DIV/0!</v>
      </c>
      <c r="N136" s="52" t="e">
        <f t="shared" si="58"/>
        <v>#DIV/0!</v>
      </c>
      <c r="O136" s="52" t="e">
        <f t="shared" si="58"/>
        <v>#DIV/0!</v>
      </c>
    </row>
    <row r="137" spans="2:47" s="37" customFormat="1">
      <c r="B137" s="51">
        <v>30</v>
      </c>
      <c r="C137" s="52"/>
      <c r="D137" s="52">
        <f t="shared" si="57"/>
        <v>0</v>
      </c>
      <c r="E137" s="52" t="e">
        <f t="shared" si="57"/>
        <v>#DIV/0!</v>
      </c>
      <c r="F137" s="52" t="e">
        <f t="shared" si="58"/>
        <v>#DIV/0!</v>
      </c>
      <c r="G137" s="52" t="e">
        <f t="shared" si="58"/>
        <v>#DIV/0!</v>
      </c>
      <c r="H137" s="52" t="e">
        <f t="shared" si="58"/>
        <v>#DIV/0!</v>
      </c>
      <c r="I137" s="52" t="e">
        <f t="shared" si="58"/>
        <v>#DIV/0!</v>
      </c>
      <c r="J137" s="52" t="e">
        <f t="shared" si="58"/>
        <v>#DIV/0!</v>
      </c>
      <c r="K137" s="52" t="e">
        <f t="shared" si="58"/>
        <v>#DIV/0!</v>
      </c>
      <c r="L137" s="52" t="e">
        <f t="shared" si="58"/>
        <v>#DIV/0!</v>
      </c>
      <c r="M137" s="52" t="e">
        <f t="shared" si="58"/>
        <v>#DIV/0!</v>
      </c>
      <c r="N137" s="52" t="e">
        <f t="shared" si="58"/>
        <v>#DIV/0!</v>
      </c>
      <c r="O137" s="52" t="e">
        <f t="shared" si="58"/>
        <v>#DIV/0!</v>
      </c>
    </row>
    <row r="138" spans="2:47" s="37" customFormat="1">
      <c r="B138" s="51"/>
    </row>
    <row r="139" spans="2:47" s="37" customFormat="1" ht="16">
      <c r="B139" s="51" t="s">
        <v>113</v>
      </c>
      <c r="C139" s="52"/>
      <c r="D139" s="52"/>
      <c r="E139" s="52">
        <f>D108+C109</f>
        <v>0</v>
      </c>
      <c r="F139" s="52" t="e">
        <f>E108+D109+C110</f>
        <v>#DIV/0!</v>
      </c>
      <c r="G139" s="52" t="e">
        <f>F108+E109+D110+C111</f>
        <v>#DIV/0!</v>
      </c>
      <c r="H139" s="52" t="e">
        <f>G108+F109+E110+D111+C112</f>
        <v>#DIV/0!</v>
      </c>
      <c r="I139" s="52" t="e">
        <f>H108+G109+F110+E111+D112+C113</f>
        <v>#DIV/0!</v>
      </c>
      <c r="J139" s="52" t="e">
        <f>I108+H109+G110+F111+E112+D113+C114</f>
        <v>#DIV/0!</v>
      </c>
      <c r="K139" s="52" t="e">
        <f>J108+I109+H110+G111+F112+E113+D114+C115</f>
        <v>#DIV/0!</v>
      </c>
      <c r="L139" s="52" t="e">
        <f>K108+J109+I110+H111+G112+F113+E114+D115+C116</f>
        <v>#DIV/0!</v>
      </c>
      <c r="M139" s="52" t="e">
        <f>L108+K109+J110+I111+H112+G113+F114+E115+D116+C117</f>
        <v>#DIV/0!</v>
      </c>
      <c r="N139" s="52" t="e">
        <f>M108+L109+K110+J111+I112+H113+G114+F115+E116+D117+C118</f>
        <v>#DIV/0!</v>
      </c>
      <c r="O139" s="52" t="e">
        <f>N108+M109+L110+K111+J112+I113+H114+G115+F116+E117+D118</f>
        <v>#DIV/0!</v>
      </c>
    </row>
    <row r="140" spans="2:47" s="37" customFormat="1" ht="16">
      <c r="B140" s="51" t="s">
        <v>114</v>
      </c>
      <c r="C140" s="52"/>
      <c r="D140" s="52">
        <f t="shared" ref="D140:J140" si="59">D107</f>
        <v>0</v>
      </c>
      <c r="E140" s="52">
        <f t="shared" si="59"/>
        <v>0</v>
      </c>
      <c r="F140" s="52">
        <f t="shared" si="59"/>
        <v>0</v>
      </c>
      <c r="G140" s="52">
        <f t="shared" si="59"/>
        <v>0</v>
      </c>
      <c r="H140" s="52">
        <f t="shared" si="59"/>
        <v>0</v>
      </c>
      <c r="I140" s="52">
        <f t="shared" si="59"/>
        <v>0</v>
      </c>
      <c r="J140" s="52">
        <f t="shared" si="59"/>
        <v>0</v>
      </c>
      <c r="K140" s="52">
        <f>K107</f>
        <v>0</v>
      </c>
      <c r="L140" s="52">
        <f>L107</f>
        <v>0</v>
      </c>
      <c r="M140" s="52">
        <f>M107</f>
        <v>0</v>
      </c>
      <c r="N140" s="52">
        <f>N107</f>
        <v>0</v>
      </c>
      <c r="O140" s="52">
        <f>O107</f>
        <v>0</v>
      </c>
    </row>
    <row r="141" spans="2:47" s="37" customFormat="1">
      <c r="B141" s="51"/>
      <c r="C141" s="52"/>
      <c r="D141" s="52"/>
      <c r="E141" s="52"/>
      <c r="F141" s="52"/>
      <c r="G141" s="52"/>
      <c r="H141" s="52"/>
      <c r="I141" s="52"/>
      <c r="J141" s="52"/>
      <c r="K141" s="52"/>
      <c r="L141" s="52"/>
      <c r="M141" s="52"/>
      <c r="N141" s="52"/>
      <c r="O141" s="52"/>
    </row>
    <row r="142" spans="2:47">
      <c r="B142" s="64"/>
      <c r="C142" s="65"/>
      <c r="D142" s="65"/>
      <c r="E142" s="66"/>
      <c r="F142" s="65"/>
      <c r="G142" s="65"/>
      <c r="H142" s="65"/>
      <c r="I142" s="65"/>
      <c r="J142" s="65"/>
      <c r="K142" s="65"/>
      <c r="L142" s="67"/>
      <c r="M142" s="67"/>
      <c r="N142" s="67"/>
      <c r="O142" s="67"/>
      <c r="P142" s="68"/>
      <c r="Q142" s="68"/>
      <c r="R142" s="67"/>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row>
    <row r="143" spans="2:47">
      <c r="B143" s="64"/>
      <c r="C143" s="65"/>
      <c r="D143" s="65"/>
      <c r="E143" s="65"/>
      <c r="F143" s="65"/>
      <c r="G143" s="65"/>
      <c r="H143" s="67"/>
      <c r="I143" s="65"/>
      <c r="J143" s="65"/>
      <c r="K143" s="65"/>
      <c r="L143" s="65"/>
      <c r="M143" s="69"/>
      <c r="N143" s="65"/>
      <c r="O143" s="65"/>
      <c r="P143" s="67"/>
      <c r="Q143" s="70"/>
      <c r="R143" s="70"/>
      <c r="S143" s="70"/>
      <c r="T143" s="70"/>
      <c r="U143" s="70"/>
      <c r="V143" s="70"/>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row>
  </sheetData>
  <phoneticPr fontId="7"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08452-F050-724B-9909-05A9FDEEB07B}">
  <sheetPr codeName="Sheet6">
    <tabColor theme="5" tint="0.59999389629810485"/>
  </sheetPr>
  <dimension ref="A1:AU162"/>
  <sheetViews>
    <sheetView zoomScale="90" zoomScaleNormal="90" workbookViewId="0">
      <selection activeCell="B3" sqref="B3"/>
    </sheetView>
  </sheetViews>
  <sheetFormatPr baseColWidth="10" defaultColWidth="10.83203125" defaultRowHeight="15"/>
  <cols>
    <col min="1" max="1" width="4.83203125" style="5" customWidth="1"/>
    <col min="2" max="2" width="44" style="48" bestFit="1" customWidth="1"/>
    <col min="3" max="15" width="11.6640625" style="5" customWidth="1"/>
    <col min="16" max="46" width="7" style="5" customWidth="1"/>
    <col min="47" max="16384" width="10.83203125" style="5"/>
  </cols>
  <sheetData>
    <row r="1" spans="2:46">
      <c r="B1" s="71"/>
      <c r="C1" s="10"/>
      <c r="D1" s="10"/>
      <c r="E1" s="10"/>
      <c r="F1" s="10"/>
      <c r="G1" s="10"/>
      <c r="H1" s="10"/>
      <c r="I1" s="10"/>
      <c r="J1" s="10"/>
      <c r="K1" s="10"/>
      <c r="L1" s="10"/>
      <c r="M1" s="10"/>
      <c r="N1" s="10"/>
      <c r="O1" s="10"/>
      <c r="P1" s="10"/>
      <c r="Q1" s="10"/>
      <c r="R1" s="10"/>
    </row>
    <row r="2" spans="2:46" ht="16">
      <c r="B2" s="137" t="s">
        <v>397</v>
      </c>
      <c r="C2" s="138">
        <v>2022</v>
      </c>
      <c r="D2" s="138">
        <v>2023</v>
      </c>
      <c r="E2" s="138">
        <v>2024</v>
      </c>
      <c r="F2" s="138">
        <v>2025</v>
      </c>
      <c r="G2" s="138">
        <v>2026</v>
      </c>
      <c r="H2" s="138">
        <v>2027</v>
      </c>
      <c r="I2" s="138">
        <v>2028</v>
      </c>
      <c r="J2" s="138">
        <v>2029</v>
      </c>
      <c r="K2" s="138">
        <v>2030</v>
      </c>
      <c r="L2" s="138">
        <v>2031</v>
      </c>
      <c r="M2" s="138">
        <v>2032</v>
      </c>
      <c r="N2" s="138">
        <v>2033</v>
      </c>
      <c r="O2" s="138">
        <v>2034</v>
      </c>
      <c r="P2" s="138">
        <v>2035</v>
      </c>
      <c r="Q2" s="138">
        <v>2036</v>
      </c>
      <c r="R2" s="138">
        <v>2037</v>
      </c>
      <c r="S2" s="138">
        <v>2038</v>
      </c>
      <c r="T2" s="138">
        <v>2039</v>
      </c>
      <c r="U2" s="138">
        <v>2040</v>
      </c>
      <c r="V2" s="138">
        <v>2041</v>
      </c>
      <c r="W2" s="138">
        <v>2042</v>
      </c>
      <c r="X2" s="138">
        <v>2043</v>
      </c>
      <c r="Y2" s="138">
        <v>2044</v>
      </c>
      <c r="Z2" s="138">
        <v>2045</v>
      </c>
      <c r="AA2" s="138">
        <v>2046</v>
      </c>
      <c r="AB2" s="138">
        <v>2047</v>
      </c>
      <c r="AC2" s="138">
        <v>2048</v>
      </c>
      <c r="AD2" s="138">
        <v>2049</v>
      </c>
      <c r="AE2" s="138">
        <v>2050</v>
      </c>
      <c r="AF2" s="138">
        <v>2051</v>
      </c>
      <c r="AG2" s="138">
        <v>2052</v>
      </c>
      <c r="AH2" s="138">
        <v>2053</v>
      </c>
      <c r="AI2" s="138">
        <v>2054</v>
      </c>
      <c r="AJ2" s="138">
        <v>2055</v>
      </c>
      <c r="AK2" s="138">
        <v>2056</v>
      </c>
      <c r="AL2" s="138">
        <v>2057</v>
      </c>
      <c r="AM2" s="138">
        <v>2058</v>
      </c>
      <c r="AN2" s="138">
        <v>2059</v>
      </c>
      <c r="AO2" s="138">
        <v>2060</v>
      </c>
      <c r="AP2" s="138">
        <v>2061</v>
      </c>
      <c r="AQ2" s="138">
        <v>2062</v>
      </c>
      <c r="AR2" s="138">
        <v>2063</v>
      </c>
      <c r="AS2" s="138">
        <v>2064</v>
      </c>
      <c r="AT2" s="138">
        <v>2065</v>
      </c>
    </row>
    <row r="3" spans="2:46" s="37" customFormat="1" ht="16">
      <c r="B3" s="51" t="s">
        <v>117</v>
      </c>
      <c r="C3" s="36">
        <f>+Supuestos!E14</f>
        <v>324.39330000000001</v>
      </c>
      <c r="D3" s="36">
        <f>+Supuestos!F14</f>
        <v>324.39330000000001</v>
      </c>
      <c r="E3" s="36">
        <f>+Supuestos!G14</f>
        <v>324.39330000000001</v>
      </c>
      <c r="F3" s="36">
        <f>+Supuestos!H14</f>
        <v>324.39330000000001</v>
      </c>
      <c r="G3" s="36">
        <f>+Supuestos!I14</f>
        <v>324.39330000000001</v>
      </c>
      <c r="H3" s="36">
        <f>+Supuestos!J14</f>
        <v>324.39330000000001</v>
      </c>
      <c r="I3" s="36">
        <f>+Supuestos!K14</f>
        <v>324.39330000000001</v>
      </c>
      <c r="J3" s="36">
        <f>+Supuestos!L14</f>
        <v>324.39330000000001</v>
      </c>
      <c r="K3" s="36">
        <f>+Supuestos!M14</f>
        <v>324.39330000000001</v>
      </c>
      <c r="L3" s="36">
        <f>+Supuestos!N14</f>
        <v>324.39330000000001</v>
      </c>
      <c r="M3" s="36">
        <f>+Supuestos!O14</f>
        <v>324.39330000000001</v>
      </c>
      <c r="N3" s="36">
        <f>+Supuestos!P14</f>
        <v>324.39330000000001</v>
      </c>
      <c r="O3" s="36">
        <f>+Supuestos!Q14</f>
        <v>324.39330000000001</v>
      </c>
      <c r="P3" s="36">
        <f>+Supuestos!R14</f>
        <v>324.39330000000001</v>
      </c>
      <c r="Q3" s="36">
        <f>+Supuestos!S14</f>
        <v>324.39330000000001</v>
      </c>
      <c r="R3" s="36">
        <f>+Supuestos!T14</f>
        <v>324.39330000000001</v>
      </c>
      <c r="S3" s="36">
        <f>+Supuestos!U14</f>
        <v>324.39330000000001</v>
      </c>
      <c r="T3" s="36">
        <f>+Supuestos!V14</f>
        <v>324.39330000000001</v>
      </c>
      <c r="U3" s="36">
        <f>+Supuestos!W14</f>
        <v>324.39330000000001</v>
      </c>
      <c r="V3" s="36">
        <f>+Supuestos!X14</f>
        <v>324.39330000000001</v>
      </c>
      <c r="W3" s="36">
        <f>+Supuestos!Y14</f>
        <v>324.39330000000001</v>
      </c>
      <c r="X3" s="36">
        <f>+Supuestos!Z14</f>
        <v>324.39330000000001</v>
      </c>
      <c r="Y3" s="36">
        <f>+Supuestos!AA14</f>
        <v>324.39330000000001</v>
      </c>
      <c r="Z3" s="36">
        <f>+Supuestos!AB14</f>
        <v>324.39330000000001</v>
      </c>
      <c r="AA3" s="36">
        <f>+Supuestos!AC14</f>
        <v>324.39330000000001</v>
      </c>
      <c r="AB3" s="36">
        <f>+Supuestos!AD14</f>
        <v>324.39330000000001</v>
      </c>
      <c r="AC3" s="36">
        <f>+Supuestos!AE14</f>
        <v>324.39330000000001</v>
      </c>
      <c r="AD3" s="36">
        <f>+Supuestos!AF14</f>
        <v>324.39330000000001</v>
      </c>
      <c r="AE3" s="36">
        <f>+Supuestos!AG14</f>
        <v>324.39330000000001</v>
      </c>
      <c r="AF3" s="36">
        <f>+Supuestos!AH14</f>
        <v>324.39330000000001</v>
      </c>
      <c r="AG3" s="36">
        <f>+Supuestos!AI14</f>
        <v>324.39330000000001</v>
      </c>
      <c r="AH3" s="36">
        <f>+Supuestos!AJ14</f>
        <v>324.39330000000001</v>
      </c>
      <c r="AI3" s="36">
        <f>+Supuestos!AK14</f>
        <v>324.39330000000001</v>
      </c>
      <c r="AJ3" s="36">
        <f>+Supuestos!AL14</f>
        <v>324.39330000000001</v>
      </c>
      <c r="AK3" s="36">
        <f>+Supuestos!AM14</f>
        <v>324.39330000000001</v>
      </c>
      <c r="AL3" s="36">
        <f>+Supuestos!AN14</f>
        <v>324.39330000000001</v>
      </c>
      <c r="AM3" s="36">
        <f>+Supuestos!AO14</f>
        <v>324.39330000000001</v>
      </c>
      <c r="AN3" s="36">
        <f>+Supuestos!AP14</f>
        <v>324.39330000000001</v>
      </c>
      <c r="AO3" s="36">
        <f>+Supuestos!AQ14</f>
        <v>324.39330000000001</v>
      </c>
      <c r="AP3" s="36">
        <f>+Supuestos!AR14</f>
        <v>324.39330000000001</v>
      </c>
      <c r="AQ3" s="36">
        <f>+Supuestos!AS14</f>
        <v>324.39330000000001</v>
      </c>
      <c r="AR3" s="36">
        <f>+Supuestos!AT14</f>
        <v>324.39330000000001</v>
      </c>
      <c r="AS3" s="36">
        <f>+Supuestos!AU14</f>
        <v>324.39330000000001</v>
      </c>
      <c r="AT3" s="36">
        <f>+Supuestos!AV14</f>
        <v>324.39330000000001</v>
      </c>
    </row>
    <row r="4" spans="2:46" s="37" customFormat="1" ht="16">
      <c r="B4" s="51" t="s">
        <v>95</v>
      </c>
      <c r="C4" s="54"/>
      <c r="D4" s="54">
        <f>Supuestos!F13</f>
        <v>0</v>
      </c>
      <c r="E4" s="54">
        <f>Supuestos!G13</f>
        <v>0</v>
      </c>
      <c r="F4" s="54">
        <f>Supuestos!H13</f>
        <v>0</v>
      </c>
      <c r="G4" s="54">
        <f>Supuestos!I13</f>
        <v>0</v>
      </c>
      <c r="H4" s="54">
        <f>Supuestos!J13</f>
        <v>0</v>
      </c>
      <c r="I4" s="54">
        <f>Supuestos!K13</f>
        <v>0</v>
      </c>
      <c r="J4" s="54">
        <f>Supuestos!L13</f>
        <v>0</v>
      </c>
      <c r="K4" s="54">
        <f>Supuestos!M13</f>
        <v>0</v>
      </c>
      <c r="L4" s="54">
        <f>Supuestos!N13</f>
        <v>0</v>
      </c>
      <c r="M4" s="54">
        <f>Supuestos!O13</f>
        <v>0</v>
      </c>
      <c r="N4" s="54">
        <f>Supuestos!P13</f>
        <v>0</v>
      </c>
      <c r="O4" s="54">
        <f>Supuestos!Q13</f>
        <v>0</v>
      </c>
      <c r="P4" s="54">
        <f>Supuestos!R13</f>
        <v>0</v>
      </c>
      <c r="Q4" s="54">
        <f>Supuestos!S13</f>
        <v>0</v>
      </c>
      <c r="R4" s="54">
        <f>Supuestos!T13</f>
        <v>0</v>
      </c>
      <c r="S4" s="54">
        <f>Supuestos!U13</f>
        <v>0</v>
      </c>
      <c r="T4" s="54">
        <f>Supuestos!V13</f>
        <v>0</v>
      </c>
      <c r="U4" s="54">
        <f>Supuestos!W13</f>
        <v>0</v>
      </c>
      <c r="V4" s="54">
        <f>Supuestos!X13</f>
        <v>0</v>
      </c>
      <c r="W4" s="54">
        <f>Supuestos!Y13</f>
        <v>0</v>
      </c>
      <c r="X4" s="54">
        <f>Supuestos!Z13</f>
        <v>0</v>
      </c>
      <c r="Y4" s="54">
        <f>Supuestos!AA13</f>
        <v>0</v>
      </c>
      <c r="Z4" s="54">
        <f>Supuestos!AB13</f>
        <v>0</v>
      </c>
      <c r="AA4" s="54">
        <f>Supuestos!AC13</f>
        <v>0</v>
      </c>
      <c r="AB4" s="54">
        <f>Supuestos!AD13</f>
        <v>0</v>
      </c>
      <c r="AC4" s="54">
        <f>Supuestos!AE13</f>
        <v>0</v>
      </c>
      <c r="AD4" s="54">
        <f>Supuestos!AF13</f>
        <v>0</v>
      </c>
      <c r="AE4" s="54">
        <f>Supuestos!AG13</f>
        <v>0</v>
      </c>
      <c r="AF4" s="54">
        <f>Supuestos!AH13</f>
        <v>0</v>
      </c>
      <c r="AG4" s="54">
        <f>Supuestos!AI13</f>
        <v>0</v>
      </c>
      <c r="AH4" s="54">
        <f>Supuestos!AJ13</f>
        <v>0</v>
      </c>
      <c r="AI4" s="54">
        <f>Supuestos!AK13</f>
        <v>0</v>
      </c>
      <c r="AJ4" s="54">
        <f>Supuestos!AL13</f>
        <v>0</v>
      </c>
      <c r="AK4" s="54">
        <f>Supuestos!AM13</f>
        <v>0</v>
      </c>
      <c r="AL4" s="54">
        <f>Supuestos!AN13</f>
        <v>0</v>
      </c>
      <c r="AM4" s="54">
        <f>Supuestos!AO13</f>
        <v>0</v>
      </c>
      <c r="AN4" s="54">
        <f>Supuestos!AP13</f>
        <v>0</v>
      </c>
      <c r="AO4" s="54">
        <f>Supuestos!AQ13</f>
        <v>0</v>
      </c>
      <c r="AP4" s="54">
        <f>Supuestos!AR13</f>
        <v>0</v>
      </c>
      <c r="AQ4" s="54">
        <f>Supuestos!AS13</f>
        <v>0</v>
      </c>
      <c r="AR4" s="54">
        <f>Supuestos!AT13</f>
        <v>0</v>
      </c>
      <c r="AS4" s="54">
        <f>Supuestos!AU13</f>
        <v>0</v>
      </c>
      <c r="AT4" s="54">
        <f>Supuestos!AV13</f>
        <v>0</v>
      </c>
    </row>
    <row r="5" spans="2:46" s="37" customFormat="1" ht="16">
      <c r="B5" s="51" t="s">
        <v>302</v>
      </c>
      <c r="C5" s="52"/>
      <c r="D5" s="52">
        <f>'Deuda a emitir'!B$20*Supuestos!F24</f>
        <v>0</v>
      </c>
      <c r="E5" s="52" t="e">
        <f>'Deuda a emitir'!C$20*Supuestos!G24</f>
        <v>#DIV/0!</v>
      </c>
      <c r="F5" s="52" t="e">
        <f>'Deuda a emitir'!D$20*Supuestos!H24</f>
        <v>#DIV/0!</v>
      </c>
      <c r="G5" s="52" t="e">
        <f>'Deuda a emitir'!E$20*Supuestos!I24</f>
        <v>#DIV/0!</v>
      </c>
      <c r="H5" s="52" t="e">
        <f>'Deuda a emitir'!F$20*Supuestos!J24</f>
        <v>#DIV/0!</v>
      </c>
      <c r="I5" s="52" t="e">
        <f>'Deuda a emitir'!G$20*Supuestos!K24</f>
        <v>#DIV/0!</v>
      </c>
      <c r="J5" s="52" t="e">
        <f>'Deuda a emitir'!H$20*Supuestos!L24</f>
        <v>#DIV/0!</v>
      </c>
      <c r="K5" s="52" t="e">
        <f>'Deuda a emitir'!I$20*Supuestos!M24</f>
        <v>#DIV/0!</v>
      </c>
      <c r="L5" s="52" t="e">
        <f>'Deuda a emitir'!J$20*Supuestos!N24</f>
        <v>#DIV/0!</v>
      </c>
      <c r="M5" s="52" t="e">
        <f>'Deuda a emitir'!K$20*Supuestos!O24</f>
        <v>#DIV/0!</v>
      </c>
      <c r="N5" s="52" t="e">
        <f>'Deuda a emitir'!L$20*Supuestos!P24</f>
        <v>#DIV/0!</v>
      </c>
      <c r="O5" s="52" t="e">
        <f>'Deuda a emitir'!M$20*Supuestos!Q24</f>
        <v>#DIV/0!</v>
      </c>
      <c r="P5" s="52"/>
      <c r="Q5" s="52"/>
      <c r="R5" s="52"/>
    </row>
    <row r="6" spans="2:46" s="37" customFormat="1" ht="16">
      <c r="B6" s="51" t="s">
        <v>173</v>
      </c>
      <c r="C6" s="52"/>
      <c r="D6" s="52">
        <f>'Deuda a emitir'!B$31*Supuestos!F24</f>
        <v>0</v>
      </c>
      <c r="E6" s="52">
        <f>'Deuda a emitir'!C$31*Supuestos!G24</f>
        <v>0</v>
      </c>
      <c r="F6" s="52">
        <f>'Deuda a emitir'!D$31*Supuestos!H24</f>
        <v>0</v>
      </c>
      <c r="G6" s="52">
        <f>'Deuda a emitir'!E$31*Supuestos!I24</f>
        <v>0</v>
      </c>
      <c r="H6" s="52">
        <f>'Deuda a emitir'!F$31*Supuestos!J24</f>
        <v>0</v>
      </c>
      <c r="I6" s="52">
        <f>'Deuda a emitir'!G$31*Supuestos!K24</f>
        <v>0</v>
      </c>
      <c r="J6" s="52">
        <f>'Deuda a emitir'!H$31*Supuestos!L24</f>
        <v>0</v>
      </c>
      <c r="K6" s="52">
        <f>'Deuda a emitir'!I$31*Supuestos!M24</f>
        <v>0</v>
      </c>
      <c r="L6" s="52">
        <f>'Deuda a emitir'!J$31*Supuestos!N24</f>
        <v>0</v>
      </c>
      <c r="M6" s="52">
        <f>'Deuda a emitir'!K$31*Supuestos!O24</f>
        <v>0</v>
      </c>
      <c r="N6" s="52">
        <f>'Deuda a emitir'!L$31*Supuestos!P24</f>
        <v>0</v>
      </c>
      <c r="O6" s="52">
        <f>'Deuda a emitir'!M$31*Supuestos!Q24</f>
        <v>0</v>
      </c>
      <c r="P6" s="52"/>
      <c r="Q6" s="52"/>
      <c r="R6" s="52"/>
    </row>
    <row r="7" spans="2:46" s="37" customFormat="1" ht="16">
      <c r="B7" s="58" t="s">
        <v>174</v>
      </c>
      <c r="C7" s="52"/>
      <c r="D7" s="60">
        <f>D5+D6</f>
        <v>0</v>
      </c>
      <c r="E7" s="60" t="e">
        <f t="shared" ref="E7:O7" si="0">E5+E6</f>
        <v>#DIV/0!</v>
      </c>
      <c r="F7" s="60" t="e">
        <f t="shared" si="0"/>
        <v>#DIV/0!</v>
      </c>
      <c r="G7" s="60" t="e">
        <f t="shared" si="0"/>
        <v>#DIV/0!</v>
      </c>
      <c r="H7" s="60" t="e">
        <f t="shared" si="0"/>
        <v>#DIV/0!</v>
      </c>
      <c r="I7" s="60" t="e">
        <f t="shared" si="0"/>
        <v>#DIV/0!</v>
      </c>
      <c r="J7" s="60" t="e">
        <f t="shared" si="0"/>
        <v>#DIV/0!</v>
      </c>
      <c r="K7" s="60" t="e">
        <f t="shared" si="0"/>
        <v>#DIV/0!</v>
      </c>
      <c r="L7" s="60" t="e">
        <f t="shared" si="0"/>
        <v>#DIV/0!</v>
      </c>
      <c r="M7" s="60" t="e">
        <f t="shared" si="0"/>
        <v>#DIV/0!</v>
      </c>
      <c r="N7" s="60" t="e">
        <f t="shared" si="0"/>
        <v>#DIV/0!</v>
      </c>
      <c r="O7" s="60" t="e">
        <f t="shared" si="0"/>
        <v>#DIV/0!</v>
      </c>
      <c r="P7" s="52"/>
      <c r="Q7" s="52"/>
      <c r="R7" s="52"/>
    </row>
    <row r="8" spans="2:46" s="37" customFormat="1" ht="16">
      <c r="B8" s="400" t="s">
        <v>267</v>
      </c>
      <c r="C8" s="402"/>
      <c r="D8" s="465">
        <f>D5/D$3</f>
        <v>0</v>
      </c>
      <c r="E8" s="465" t="e">
        <f t="shared" ref="E8:O8" si="1">E5/E$3</f>
        <v>#DIV/0!</v>
      </c>
      <c r="F8" s="465" t="e">
        <f t="shared" si="1"/>
        <v>#DIV/0!</v>
      </c>
      <c r="G8" s="465" t="e">
        <f t="shared" si="1"/>
        <v>#DIV/0!</v>
      </c>
      <c r="H8" s="465" t="e">
        <f t="shared" si="1"/>
        <v>#DIV/0!</v>
      </c>
      <c r="I8" s="465" t="e">
        <f t="shared" si="1"/>
        <v>#DIV/0!</v>
      </c>
      <c r="J8" s="465" t="e">
        <f t="shared" si="1"/>
        <v>#DIV/0!</v>
      </c>
      <c r="K8" s="465" t="e">
        <f t="shared" si="1"/>
        <v>#DIV/0!</v>
      </c>
      <c r="L8" s="465" t="e">
        <f t="shared" si="1"/>
        <v>#DIV/0!</v>
      </c>
      <c r="M8" s="465" t="e">
        <f t="shared" si="1"/>
        <v>#DIV/0!</v>
      </c>
      <c r="N8" s="465" t="e">
        <f t="shared" si="1"/>
        <v>#DIV/0!</v>
      </c>
      <c r="O8" s="465" t="e">
        <f t="shared" si="1"/>
        <v>#DIV/0!</v>
      </c>
      <c r="P8" s="402"/>
      <c r="Q8" s="52"/>
      <c r="R8" s="52"/>
    </row>
    <row r="9" spans="2:46" s="37" customFormat="1" ht="16">
      <c r="B9" s="400" t="s">
        <v>272</v>
      </c>
      <c r="C9" s="402"/>
      <c r="D9" s="465">
        <f>D6/D$3</f>
        <v>0</v>
      </c>
      <c r="E9" s="465">
        <f t="shared" ref="E9:O9" si="2">E6/E$3</f>
        <v>0</v>
      </c>
      <c r="F9" s="465">
        <f t="shared" si="2"/>
        <v>0</v>
      </c>
      <c r="G9" s="465">
        <f t="shared" si="2"/>
        <v>0</v>
      </c>
      <c r="H9" s="465">
        <f t="shared" si="2"/>
        <v>0</v>
      </c>
      <c r="I9" s="465">
        <f t="shared" si="2"/>
        <v>0</v>
      </c>
      <c r="J9" s="465">
        <f t="shared" si="2"/>
        <v>0</v>
      </c>
      <c r="K9" s="465">
        <f t="shared" si="2"/>
        <v>0</v>
      </c>
      <c r="L9" s="465">
        <f t="shared" si="2"/>
        <v>0</v>
      </c>
      <c r="M9" s="465">
        <f t="shared" si="2"/>
        <v>0</v>
      </c>
      <c r="N9" s="465">
        <f>N6/N$3</f>
        <v>0</v>
      </c>
      <c r="O9" s="465">
        <f t="shared" si="2"/>
        <v>0</v>
      </c>
      <c r="P9" s="402"/>
      <c r="Q9" s="52"/>
      <c r="R9" s="52"/>
    </row>
    <row r="10" spans="2:46" s="37" customFormat="1" ht="16">
      <c r="B10" s="408" t="s">
        <v>268</v>
      </c>
      <c r="C10" s="402"/>
      <c r="D10" s="466">
        <f>D8+D9</f>
        <v>0</v>
      </c>
      <c r="E10" s="466" t="e">
        <f t="shared" ref="E10" si="3">E8+E9</f>
        <v>#DIV/0!</v>
      </c>
      <c r="F10" s="466" t="e">
        <f t="shared" ref="F10" si="4">F8+F9</f>
        <v>#DIV/0!</v>
      </c>
      <c r="G10" s="466" t="e">
        <f t="shared" ref="G10" si="5">G8+G9</f>
        <v>#DIV/0!</v>
      </c>
      <c r="H10" s="466" t="e">
        <f t="shared" ref="H10" si="6">H8+H9</f>
        <v>#DIV/0!</v>
      </c>
      <c r="I10" s="466" t="e">
        <f t="shared" ref="I10" si="7">I8+I9</f>
        <v>#DIV/0!</v>
      </c>
      <c r="J10" s="466" t="e">
        <f t="shared" ref="J10" si="8">J8+J9</f>
        <v>#DIV/0!</v>
      </c>
      <c r="K10" s="466" t="e">
        <f t="shared" ref="K10" si="9">K8+K9</f>
        <v>#DIV/0!</v>
      </c>
      <c r="L10" s="466" t="e">
        <f t="shared" ref="L10" si="10">L8+L9</f>
        <v>#DIV/0!</v>
      </c>
      <c r="M10" s="466" t="e">
        <f t="shared" ref="M10" si="11">M8+M9</f>
        <v>#DIV/0!</v>
      </c>
      <c r="N10" s="466" t="e">
        <f t="shared" ref="N10" si="12">N8+N9</f>
        <v>#DIV/0!</v>
      </c>
      <c r="O10" s="466" t="e">
        <f t="shared" ref="O10" si="13">O8+O9</f>
        <v>#DIV/0!</v>
      </c>
      <c r="P10" s="402"/>
      <c r="Q10" s="52"/>
      <c r="R10" s="52"/>
    </row>
    <row r="11" spans="2:46" s="37" customFormat="1" ht="16">
      <c r="B11" s="51" t="s">
        <v>263</v>
      </c>
      <c r="C11" s="52"/>
      <c r="D11" s="52">
        <f>SUM(D40,D69,D108,D158)</f>
        <v>0</v>
      </c>
      <c r="E11" s="52">
        <f t="shared" ref="E11:H11" si="14">SUM(E40,E69,E108,E158)</f>
        <v>0</v>
      </c>
      <c r="F11" s="52" t="e">
        <f t="shared" si="14"/>
        <v>#DIV/0!</v>
      </c>
      <c r="G11" s="52" t="e">
        <f t="shared" si="14"/>
        <v>#DIV/0!</v>
      </c>
      <c r="H11" s="52" t="e">
        <f t="shared" si="14"/>
        <v>#DIV/0!</v>
      </c>
      <c r="I11" s="52" t="e">
        <f t="shared" ref="I11:M11" si="15">SUM(I40,I69,I108,I158)</f>
        <v>#DIV/0!</v>
      </c>
      <c r="J11" s="52" t="e">
        <f t="shared" si="15"/>
        <v>#DIV/0!</v>
      </c>
      <c r="K11" s="52" t="e">
        <f t="shared" si="15"/>
        <v>#DIV/0!</v>
      </c>
      <c r="L11" s="52" t="e">
        <f t="shared" si="15"/>
        <v>#DIV/0!</v>
      </c>
      <c r="M11" s="52" t="e">
        <f t="shared" si="15"/>
        <v>#DIV/0!</v>
      </c>
      <c r="N11" s="52" t="e">
        <f t="shared" ref="N11" si="16">SUM(N40,N69,N108,N158)</f>
        <v>#DIV/0!</v>
      </c>
      <c r="O11" s="52" t="e">
        <f t="shared" ref="O11" si="17">SUM(O40,O69,O108,O158)</f>
        <v>#DIV/0!</v>
      </c>
      <c r="P11" s="52"/>
      <c r="Q11" s="52"/>
      <c r="R11" s="52"/>
    </row>
    <row r="12" spans="2:46" s="37" customFormat="1" ht="16">
      <c r="B12" s="51" t="s">
        <v>264</v>
      </c>
      <c r="C12" s="52"/>
      <c r="D12" s="52">
        <f t="shared" ref="D12:H12" si="18">SUM(D41,D70,D109,D159)</f>
        <v>0</v>
      </c>
      <c r="E12" s="52">
        <f t="shared" si="18"/>
        <v>0</v>
      </c>
      <c r="F12" s="52">
        <f t="shared" si="18"/>
        <v>0</v>
      </c>
      <c r="G12" s="52">
        <f t="shared" si="18"/>
        <v>0</v>
      </c>
      <c r="H12" s="52">
        <f t="shared" si="18"/>
        <v>0</v>
      </c>
      <c r="I12" s="52">
        <f t="shared" ref="I12:M12" si="19">SUM(I41,I70,I109,I159)</f>
        <v>0</v>
      </c>
      <c r="J12" s="52">
        <f t="shared" si="19"/>
        <v>0</v>
      </c>
      <c r="K12" s="52">
        <f t="shared" si="19"/>
        <v>0</v>
      </c>
      <c r="L12" s="52">
        <f t="shared" si="19"/>
        <v>0</v>
      </c>
      <c r="M12" s="52">
        <f t="shared" si="19"/>
        <v>0</v>
      </c>
      <c r="N12" s="52">
        <f t="shared" ref="N12" si="20">SUM(N41,N70,N109,N159)</f>
        <v>0</v>
      </c>
      <c r="O12" s="52">
        <f t="shared" ref="O12" si="21">SUM(O41,O70,O109,O159)</f>
        <v>0</v>
      </c>
      <c r="P12" s="52"/>
      <c r="Q12" s="52"/>
      <c r="R12" s="52"/>
    </row>
    <row r="13" spans="2:46" s="37" customFormat="1" ht="16">
      <c r="B13" s="400" t="s">
        <v>266</v>
      </c>
      <c r="C13" s="401"/>
      <c r="D13" s="465"/>
      <c r="E13" s="465">
        <f>SUMIF($B$23:D$23,"&gt;"&amp;D2,$B$28:D$28)+SUMIF($B$47:D$47,"&gt;"&amp;D2,$B$52:D$52)+SUMIF($B$76:D$76,"&gt;"&amp;D2,$B$81:D$81)+SUMIF($B$116:D$116,"&gt;"&amp;D2,$B$121:D$121)</f>
        <v>0</v>
      </c>
      <c r="F13" s="465" t="e">
        <f>SUMIF($B$23:E$23,"&gt;"&amp;E2,$B$28:E$28)+SUMIF($B$47:E$47,"&gt;"&amp;E2,$B$52:E$52)+SUMIF($B$76:E$76,"&gt;"&amp;E2,$B$81:E$81)+SUMIF($B$116:E$116,"&gt;"&amp;E2,$B$121:E$121)</f>
        <v>#DIV/0!</v>
      </c>
      <c r="G13" s="465" t="e">
        <f>SUMIF($B$23:F$23,"&gt;"&amp;F2,$B$28:F$28)+SUMIF($B$47:F$47,"&gt;"&amp;F2,$B$52:F$52)+SUMIF($B$76:F$76,"&gt;"&amp;F2,$B$81:F$81)+SUMIF($B$116:F$116,"&gt;"&amp;F2,$B$121:F$121)</f>
        <v>#DIV/0!</v>
      </c>
      <c r="H13" s="465" t="e">
        <f>SUMIF($B$23:G$23,"&gt;"&amp;G2,$B$28:G$28)+SUMIF($B$47:G$47,"&gt;"&amp;G2,$B$52:G$52)+SUMIF($B$76:G$76,"&gt;"&amp;G2,$B$81:G$81)+SUMIF($B$116:G$116,"&gt;"&amp;G2,$B$121:G$121)</f>
        <v>#DIV/0!</v>
      </c>
      <c r="I13" s="465" t="e">
        <f>SUMIF($B$23:H$23,"&gt;"&amp;H2,$B$28:H$28)+SUMIF($B$47:H$47,"&gt;"&amp;H2,$B$52:H$52)+SUMIF($B$76:H$76,"&gt;"&amp;H2,$B$81:H$81)+SUMIF($B$116:H$116,"&gt;"&amp;H2,$B$121:H$121)</f>
        <v>#DIV/0!</v>
      </c>
      <c r="J13" s="465" t="e">
        <f>SUMIF($B$23:I$23,"&gt;"&amp;I2,$B$28:I$28)+SUMIF($B$47:I$47,"&gt;"&amp;I2,$B$52:I$52)+SUMIF($B$76:I$76,"&gt;"&amp;I2,$B$81:I$81)+SUMIF($B$116:I$116,"&gt;"&amp;I2,$B$121:I$121)</f>
        <v>#DIV/0!</v>
      </c>
      <c r="K13" s="465" t="e">
        <f>SUMIF($B$23:J$23,"&gt;"&amp;J2,$B$28:J$28)+SUMIF($B$47:J$47,"&gt;"&amp;J2,$B$52:J$52)+SUMIF($B$76:J$76,"&gt;"&amp;J2,$B$81:J$81)+SUMIF($B$116:J$116,"&gt;"&amp;J2,$B$121:J$121)</f>
        <v>#DIV/0!</v>
      </c>
      <c r="L13" s="465" t="e">
        <f>SUMIF($B$23:K$23,"&gt;"&amp;K2,$B$28:K$28)+SUMIF($B$47:K$47,"&gt;"&amp;K2,$B$52:K$52)+SUMIF($B$76:K$76,"&gt;"&amp;K2,$B$81:K$81)+SUMIF($B$116:K$116,"&gt;"&amp;K2,$B$121:K$121)</f>
        <v>#DIV/0!</v>
      </c>
      <c r="M13" s="465" t="e">
        <f>SUMIF($B$23:L$23,"&gt;"&amp;L2,$B$28:L$28)+SUMIF($B$47:L$47,"&gt;"&amp;L2,$B$52:L$52)+SUMIF($B$76:L$76,"&gt;"&amp;L2,$B$81:L$81)+SUMIF($B$116:L$116,"&gt;"&amp;L2,$B$121:L$121)</f>
        <v>#DIV/0!</v>
      </c>
      <c r="N13" s="465" t="e">
        <f>SUMIF($B$23:M$23,"&gt;"&amp;M2,$B$28:M$28)+SUMIF($B$47:M$47,"&gt;"&amp;M2,$B$52:M$52)+SUMIF($B$76:M$76,"&gt;"&amp;M2,$B$81:M$81)+SUMIF($B$116:M$116,"&gt;"&amp;M2,$B$121:M$121)</f>
        <v>#DIV/0!</v>
      </c>
      <c r="O13" s="465" t="e">
        <f>SUMIF($B$23:N$23,"&gt;"&amp;N2,$B$28:N$28)+SUMIF($B$47:N$47,"&gt;"&amp;N2,$B$52:N$52)+SUMIF($B$76:N$76,"&gt;"&amp;N2,$B$81:N$81)+SUMIF($B$116:N$116,"&gt;"&amp;N2,$B$121:N$121)</f>
        <v>#DIV/0!</v>
      </c>
    </row>
    <row r="14" spans="2:46" s="37" customFormat="1" ht="16">
      <c r="B14" s="51" t="s">
        <v>265</v>
      </c>
      <c r="C14" s="72"/>
      <c r="D14" s="52"/>
      <c r="E14" s="52">
        <f t="shared" ref="E14:O14" si="22">E13*(E3-D3)</f>
        <v>0</v>
      </c>
      <c r="F14" s="52" t="e">
        <f t="shared" si="22"/>
        <v>#DIV/0!</v>
      </c>
      <c r="G14" s="52" t="e">
        <f t="shared" si="22"/>
        <v>#DIV/0!</v>
      </c>
      <c r="H14" s="52" t="e">
        <f t="shared" si="22"/>
        <v>#DIV/0!</v>
      </c>
      <c r="I14" s="52" t="e">
        <f t="shared" si="22"/>
        <v>#DIV/0!</v>
      </c>
      <c r="J14" s="52" t="e">
        <f t="shared" si="22"/>
        <v>#DIV/0!</v>
      </c>
      <c r="K14" s="52" t="e">
        <f t="shared" si="22"/>
        <v>#DIV/0!</v>
      </c>
      <c r="L14" s="52" t="e">
        <f t="shared" si="22"/>
        <v>#DIV/0!</v>
      </c>
      <c r="M14" s="52" t="e">
        <f t="shared" si="22"/>
        <v>#DIV/0!</v>
      </c>
      <c r="N14" s="52" t="e">
        <f t="shared" si="22"/>
        <v>#DIV/0!</v>
      </c>
      <c r="O14" s="52" t="e">
        <f t="shared" si="22"/>
        <v>#DIV/0!</v>
      </c>
    </row>
    <row r="15" spans="2:46" s="37" customFormat="1" ht="16">
      <c r="B15" s="400" t="s">
        <v>140</v>
      </c>
      <c r="C15" s="402"/>
      <c r="D15" s="465"/>
      <c r="E15" s="465">
        <f>SUMIF($B$23:D$23,"="&amp;E2,$B$28:D$28)+SUMIF($B$47:D$47,"="&amp;E2,$B$52:D$52)+SUMIF($B$76:D$76,"="&amp;E2,$B$81:D$81)+SUMIF($B$116:D$116,"="&amp;E2,$B$121:D$121)</f>
        <v>0</v>
      </c>
      <c r="F15" s="465">
        <f>SUMIF($B$23:E$23,"="&amp;F2,$B$28:E$28)+SUMIF($B$47:E$47,"="&amp;F2,$B$52:E$52)+SUMIF($B$76:E$76,"="&amp;F2,$B$81:E$81)+SUMIF($B$116:E$116,"="&amp;F2,$B$121:E$121)</f>
        <v>0</v>
      </c>
      <c r="G15" s="465">
        <f>SUMIF($B$23:F$23,"="&amp;G2,$B$28:F$28)+SUMIF($B$47:F$47,"="&amp;G2,$B$52:F$52)+SUMIF($B$76:F$76,"="&amp;G2,$B$81:F$81)+SUMIF($B$116:F$116,"="&amp;G2,$B$121:F$121)</f>
        <v>0</v>
      </c>
      <c r="H15" s="465">
        <f>SUMIF($B$23:G$23,"="&amp;H2,$B$28:G$28)+SUMIF($B$47:G$47,"="&amp;H2,$B$52:G$52)+SUMIF($B$76:G$76,"="&amp;H2,$B$81:G$81)+SUMIF($B$116:G$116,"="&amp;H2,$B$121:G$121)</f>
        <v>0</v>
      </c>
      <c r="I15" s="465">
        <f>SUMIF($B$23:H$23,"="&amp;I2,$B$28:H$28)+SUMIF($B$47:H$47,"="&amp;I2,$B$52:H$52)+SUMIF($B$76:H$76,"="&amp;I2,$B$81:H$81)+SUMIF($B$116:H$116,"="&amp;I2,$B$121:H$121)</f>
        <v>0</v>
      </c>
      <c r="J15" s="465" t="e">
        <f>SUMIF($B$23:I$23,"="&amp;J2,$B$28:I$28)+SUMIF($B$47:I$47,"="&amp;J2,$B$52:I$52)+SUMIF($B$76:I$76,"="&amp;J2,$B$81:I$81)+SUMIF($B$116:I$116,"="&amp;J2,$B$121:I$121)</f>
        <v>#DIV/0!</v>
      </c>
      <c r="K15" s="465" t="e">
        <f>SUMIF($B$23:J$23,"="&amp;K2,$B$28:J$28)+SUMIF($B$47:J$47,"="&amp;K2,$B$52:J$52)+SUMIF($B$76:J$76,"="&amp;K2,$B$81:J$81)+SUMIF($B$116:J$116,"="&amp;K2,$B$121:J$121)</f>
        <v>#DIV/0!</v>
      </c>
      <c r="L15" s="465" t="e">
        <f>SUMIF($B$23:K$23,"="&amp;L2,$B$28:K$28)+SUMIF($B$47:K$47,"="&amp;L2,$B$52:K$52)+SUMIF($B$76:K$76,"="&amp;L2,$B$81:K$81)+SUMIF($B$116:K$116,"="&amp;L2,$B$121:K$121)</f>
        <v>#DIV/0!</v>
      </c>
      <c r="M15" s="465" t="e">
        <f>SUMIF($B$23:L$23,"="&amp;M2,$B$28:L$28)+SUMIF($B$47:L$47,"="&amp;M2,$B$52:L$52)+SUMIF($B$76:L$76,"="&amp;M2,$B$81:L$81)+SUMIF($B$116:L$116,"="&amp;M2,$B$121:L$121)</f>
        <v>#DIV/0!</v>
      </c>
      <c r="N15" s="465" t="e">
        <f>SUMIF($B$23:M$23,"="&amp;N2,$B$28:M$28)+SUMIF($B$47:M$47,"="&amp;N2,$B$52:M$52)+SUMIF($B$76:M$76,"="&amp;N2,$B$81:M$81)+SUMIF($B$116:M$116,"="&amp;N2,$B$121:M$121)</f>
        <v>#DIV/0!</v>
      </c>
      <c r="O15" s="465" t="e">
        <f>SUMIF($B$23:N$23,"="&amp;O2,$B$28:N$28)+SUMIF($B$47:N$47,"="&amp;O2,$B$52:N$52)+SUMIF($B$76:N$76,"="&amp;O2,$B$81:N$81)+SUMIF($B$116:N$116,"="&amp;O2,$B$121:N$121)</f>
        <v>#DIV/0!</v>
      </c>
      <c r="P15" s="53"/>
      <c r="Q15" s="53"/>
    </row>
    <row r="16" spans="2:46" s="37" customFormat="1" ht="16">
      <c r="B16" s="51" t="s">
        <v>139</v>
      </c>
      <c r="C16" s="53"/>
      <c r="D16" s="53"/>
      <c r="E16" s="53">
        <f t="shared" ref="E16:N16" si="23">E15*E3</f>
        <v>0</v>
      </c>
      <c r="F16" s="53">
        <f t="shared" si="23"/>
        <v>0</v>
      </c>
      <c r="G16" s="53">
        <f t="shared" si="23"/>
        <v>0</v>
      </c>
      <c r="H16" s="53">
        <f t="shared" si="23"/>
        <v>0</v>
      </c>
      <c r="I16" s="53">
        <f t="shared" si="23"/>
        <v>0</v>
      </c>
      <c r="J16" s="53" t="e">
        <f t="shared" si="23"/>
        <v>#DIV/0!</v>
      </c>
      <c r="K16" s="53" t="e">
        <f t="shared" si="23"/>
        <v>#DIV/0!</v>
      </c>
      <c r="L16" s="53" t="e">
        <f t="shared" si="23"/>
        <v>#DIV/0!</v>
      </c>
      <c r="M16" s="53" t="e">
        <f t="shared" si="23"/>
        <v>#DIV/0!</v>
      </c>
      <c r="N16" s="53" t="e">
        <f t="shared" si="23"/>
        <v>#DIV/0!</v>
      </c>
      <c r="O16" s="53" t="e">
        <f>O15*O3</f>
        <v>#DIV/0!</v>
      </c>
    </row>
    <row r="17" spans="2:18" s="37" customFormat="1" ht="16">
      <c r="B17" s="51" t="s">
        <v>262</v>
      </c>
      <c r="C17" s="52"/>
      <c r="D17" s="52">
        <f t="shared" ref="D17:O17" si="24">SUM(D31,D55,D84,D124)</f>
        <v>0</v>
      </c>
      <c r="E17" s="52" t="e">
        <f t="shared" si="24"/>
        <v>#DIV/0!</v>
      </c>
      <c r="F17" s="52" t="e">
        <f t="shared" si="24"/>
        <v>#DIV/0!</v>
      </c>
      <c r="G17" s="52" t="e">
        <f t="shared" si="24"/>
        <v>#DIV/0!</v>
      </c>
      <c r="H17" s="52" t="e">
        <f t="shared" si="24"/>
        <v>#DIV/0!</v>
      </c>
      <c r="I17" s="52" t="e">
        <f t="shared" si="24"/>
        <v>#DIV/0!</v>
      </c>
      <c r="J17" s="52" t="e">
        <f t="shared" si="24"/>
        <v>#DIV/0!</v>
      </c>
      <c r="K17" s="52" t="e">
        <f t="shared" si="24"/>
        <v>#DIV/0!</v>
      </c>
      <c r="L17" s="52" t="e">
        <f t="shared" si="24"/>
        <v>#DIV/0!</v>
      </c>
      <c r="M17" s="52" t="e">
        <f t="shared" si="24"/>
        <v>#DIV/0!</v>
      </c>
      <c r="N17" s="52" t="e">
        <f t="shared" si="24"/>
        <v>#DIV/0!</v>
      </c>
      <c r="O17" s="52" t="e">
        <f t="shared" si="24"/>
        <v>#DIV/0!</v>
      </c>
      <c r="P17" s="52"/>
      <c r="Q17" s="52"/>
      <c r="R17" s="52"/>
    </row>
    <row r="18" spans="2:18" s="37" customFormat="1">
      <c r="B18" s="51"/>
    </row>
    <row r="19" spans="2:18" s="37" customFormat="1">
      <c r="B19" s="49">
        <v>5</v>
      </c>
      <c r="C19" s="50">
        <v>2022</v>
      </c>
      <c r="D19" s="50">
        <v>2023</v>
      </c>
      <c r="E19" s="50">
        <v>2024</v>
      </c>
      <c r="F19" s="50">
        <v>2025</v>
      </c>
      <c r="G19" s="50">
        <v>2026</v>
      </c>
      <c r="H19" s="50">
        <v>2027</v>
      </c>
      <c r="I19" s="50">
        <v>2028</v>
      </c>
      <c r="J19" s="50">
        <v>2029</v>
      </c>
      <c r="K19" s="50">
        <v>2030</v>
      </c>
      <c r="L19" s="50">
        <v>2031</v>
      </c>
      <c r="M19" s="50">
        <v>2032</v>
      </c>
      <c r="N19" s="50">
        <v>2033</v>
      </c>
      <c r="O19" s="50">
        <v>2034</v>
      </c>
    </row>
    <row r="20" spans="2:18" s="37" customFormat="1" ht="16">
      <c r="B20" s="51" t="s">
        <v>105</v>
      </c>
      <c r="C20" s="54"/>
      <c r="D20" s="54">
        <f>Supuestos!F52</f>
        <v>0</v>
      </c>
      <c r="E20" s="54">
        <f>Supuestos!G52</f>
        <v>0</v>
      </c>
      <c r="F20" s="54">
        <f>Supuestos!H52</f>
        <v>0</v>
      </c>
      <c r="G20" s="54">
        <f>Supuestos!I52</f>
        <v>0</v>
      </c>
      <c r="H20" s="54">
        <f>Supuestos!J52</f>
        <v>0</v>
      </c>
      <c r="I20" s="54">
        <f>Supuestos!K52</f>
        <v>0</v>
      </c>
      <c r="J20" s="54">
        <f>Supuestos!L52</f>
        <v>0</v>
      </c>
      <c r="K20" s="54">
        <f>Supuestos!M52</f>
        <v>0</v>
      </c>
      <c r="L20" s="54">
        <f>Supuestos!N52</f>
        <v>0</v>
      </c>
      <c r="M20" s="54">
        <f>Supuestos!O52</f>
        <v>0</v>
      </c>
      <c r="N20" s="54">
        <f>Supuestos!P52</f>
        <v>0</v>
      </c>
      <c r="O20" s="54">
        <f>Supuestos!Q52</f>
        <v>0</v>
      </c>
    </row>
    <row r="21" spans="2:18" s="37" customFormat="1" ht="16">
      <c r="B21" s="51" t="s">
        <v>89</v>
      </c>
      <c r="C21" s="54"/>
      <c r="D21" s="54">
        <f>Supuestos!F53</f>
        <v>0</v>
      </c>
      <c r="E21" s="54">
        <f>Supuestos!G53</f>
        <v>0</v>
      </c>
      <c r="F21" s="54">
        <f>Supuestos!H53</f>
        <v>0</v>
      </c>
      <c r="G21" s="54">
        <f>Supuestos!I53</f>
        <v>0</v>
      </c>
      <c r="H21" s="54">
        <f>Supuestos!J53</f>
        <v>0</v>
      </c>
      <c r="I21" s="54">
        <f>Supuestos!K53</f>
        <v>0</v>
      </c>
      <c r="J21" s="54">
        <f>Supuestos!L53</f>
        <v>0</v>
      </c>
      <c r="K21" s="54">
        <f>Supuestos!M53</f>
        <v>0</v>
      </c>
      <c r="L21" s="54">
        <f>Supuestos!N53</f>
        <v>0</v>
      </c>
      <c r="M21" s="54">
        <f>Supuestos!O53</f>
        <v>0</v>
      </c>
      <c r="N21" s="54">
        <f>Supuestos!P53</f>
        <v>0</v>
      </c>
      <c r="O21" s="54">
        <f>Supuestos!Q53</f>
        <v>0</v>
      </c>
      <c r="P21" s="54"/>
      <c r="Q21" s="54"/>
      <c r="R21" s="54"/>
    </row>
    <row r="22" spans="2:18" s="37" customFormat="1" ht="16">
      <c r="B22" s="51" t="s">
        <v>90</v>
      </c>
      <c r="C22" s="56"/>
      <c r="D22" s="56">
        <f>Supuestos!F54</f>
        <v>5</v>
      </c>
      <c r="E22" s="56">
        <f>Supuestos!G54</f>
        <v>5</v>
      </c>
      <c r="F22" s="56">
        <f>Supuestos!H54</f>
        <v>5</v>
      </c>
      <c r="G22" s="56">
        <f>Supuestos!I54</f>
        <v>5</v>
      </c>
      <c r="H22" s="56">
        <f>Supuestos!J54</f>
        <v>5</v>
      </c>
      <c r="I22" s="56">
        <f>Supuestos!K54</f>
        <v>5</v>
      </c>
      <c r="J22" s="56">
        <f>Supuestos!L54</f>
        <v>5</v>
      </c>
      <c r="K22" s="56">
        <f>Supuestos!M54</f>
        <v>5</v>
      </c>
      <c r="L22" s="56">
        <f>Supuestos!N54</f>
        <v>5</v>
      </c>
      <c r="M22" s="56">
        <f>Supuestos!O54</f>
        <v>5</v>
      </c>
      <c r="N22" s="56">
        <f>Supuestos!P54</f>
        <v>5</v>
      </c>
      <c r="O22" s="56">
        <f>Supuestos!Q54</f>
        <v>5</v>
      </c>
      <c r="P22" s="56"/>
      <c r="Q22" s="56"/>
      <c r="R22" s="56"/>
    </row>
    <row r="23" spans="2:18" s="37" customFormat="1" ht="16">
      <c r="B23" s="51" t="s">
        <v>79</v>
      </c>
      <c r="C23" s="56"/>
      <c r="D23" s="56">
        <f t="shared" ref="D23:N23" si="25">D19+D22</f>
        <v>2028</v>
      </c>
      <c r="E23" s="56">
        <f t="shared" si="25"/>
        <v>2029</v>
      </c>
      <c r="F23" s="56">
        <f t="shared" si="25"/>
        <v>2030</v>
      </c>
      <c r="G23" s="56">
        <f t="shared" si="25"/>
        <v>2031</v>
      </c>
      <c r="H23" s="56">
        <f t="shared" si="25"/>
        <v>2032</v>
      </c>
      <c r="I23" s="56">
        <f t="shared" si="25"/>
        <v>2033</v>
      </c>
      <c r="J23" s="56">
        <f t="shared" si="25"/>
        <v>2034</v>
      </c>
      <c r="K23" s="56">
        <f t="shared" si="25"/>
        <v>2035</v>
      </c>
      <c r="L23" s="56">
        <f t="shared" si="25"/>
        <v>2036</v>
      </c>
      <c r="M23" s="56">
        <f t="shared" si="25"/>
        <v>2037</v>
      </c>
      <c r="N23" s="56">
        <f t="shared" si="25"/>
        <v>2038</v>
      </c>
      <c r="O23" s="56">
        <f t="shared" ref="O23" si="26">O19+O22</f>
        <v>2039</v>
      </c>
      <c r="P23" s="56"/>
      <c r="Q23" s="56"/>
      <c r="R23" s="56"/>
    </row>
    <row r="24" spans="2:18" s="37" customFormat="1" ht="16">
      <c r="B24" s="51" t="s">
        <v>107</v>
      </c>
      <c r="C24" s="54"/>
      <c r="D24" s="54">
        <f>Supuestos!F47</f>
        <v>0</v>
      </c>
      <c r="E24" s="54">
        <f>Supuestos!G47</f>
        <v>0</v>
      </c>
      <c r="F24" s="54">
        <f>Supuestos!H47</f>
        <v>0</v>
      </c>
      <c r="G24" s="54">
        <f>Supuestos!I47</f>
        <v>0</v>
      </c>
      <c r="H24" s="54">
        <f>Supuestos!J47</f>
        <v>0</v>
      </c>
      <c r="I24" s="54">
        <f>Supuestos!K47</f>
        <v>0</v>
      </c>
      <c r="J24" s="54">
        <f>Supuestos!L47</f>
        <v>0</v>
      </c>
      <c r="K24" s="54">
        <f>Supuestos!M47</f>
        <v>0</v>
      </c>
      <c r="L24" s="54">
        <f>Supuestos!N47</f>
        <v>0</v>
      </c>
      <c r="M24" s="54">
        <f>Supuestos!O47</f>
        <v>0</v>
      </c>
      <c r="N24" s="54">
        <f>Supuestos!P47</f>
        <v>0</v>
      </c>
      <c r="O24" s="54">
        <f>Supuestos!Q47</f>
        <v>0</v>
      </c>
      <c r="P24" s="54"/>
      <c r="Q24" s="54"/>
      <c r="R24" s="54"/>
    </row>
    <row r="25" spans="2:18" s="37" customFormat="1" ht="16">
      <c r="B25" s="51" t="s">
        <v>302</v>
      </c>
      <c r="C25" s="52"/>
      <c r="D25" s="52">
        <f t="shared" ref="D25:O25" si="27">D$5*D24</f>
        <v>0</v>
      </c>
      <c r="E25" s="52" t="e">
        <f t="shared" si="27"/>
        <v>#DIV/0!</v>
      </c>
      <c r="F25" s="52" t="e">
        <f t="shared" si="27"/>
        <v>#DIV/0!</v>
      </c>
      <c r="G25" s="52" t="e">
        <f t="shared" si="27"/>
        <v>#DIV/0!</v>
      </c>
      <c r="H25" s="52" t="e">
        <f t="shared" si="27"/>
        <v>#DIV/0!</v>
      </c>
      <c r="I25" s="52" t="e">
        <f t="shared" si="27"/>
        <v>#DIV/0!</v>
      </c>
      <c r="J25" s="52" t="e">
        <f t="shared" si="27"/>
        <v>#DIV/0!</v>
      </c>
      <c r="K25" s="52" t="e">
        <f t="shared" si="27"/>
        <v>#DIV/0!</v>
      </c>
      <c r="L25" s="52" t="e">
        <f t="shared" si="27"/>
        <v>#DIV/0!</v>
      </c>
      <c r="M25" s="52" t="e">
        <f t="shared" si="27"/>
        <v>#DIV/0!</v>
      </c>
      <c r="N25" s="52" t="e">
        <f t="shared" si="27"/>
        <v>#DIV/0!</v>
      </c>
      <c r="O25" s="52" t="e">
        <f t="shared" si="27"/>
        <v>#DIV/0!</v>
      </c>
      <c r="P25" s="52"/>
      <c r="Q25" s="52"/>
      <c r="R25" s="52"/>
    </row>
    <row r="26" spans="2:18" s="37" customFormat="1" ht="16">
      <c r="B26" s="51" t="s">
        <v>173</v>
      </c>
      <c r="C26" s="52"/>
      <c r="D26" s="52">
        <f t="shared" ref="D26:N26" si="28">D$6*D24</f>
        <v>0</v>
      </c>
      <c r="E26" s="52">
        <f t="shared" si="28"/>
        <v>0</v>
      </c>
      <c r="F26" s="52">
        <f t="shared" si="28"/>
        <v>0</v>
      </c>
      <c r="G26" s="52">
        <f t="shared" si="28"/>
        <v>0</v>
      </c>
      <c r="H26" s="52">
        <f t="shared" si="28"/>
        <v>0</v>
      </c>
      <c r="I26" s="52">
        <f t="shared" si="28"/>
        <v>0</v>
      </c>
      <c r="J26" s="52">
        <f t="shared" si="28"/>
        <v>0</v>
      </c>
      <c r="K26" s="52">
        <f t="shared" si="28"/>
        <v>0</v>
      </c>
      <c r="L26" s="52">
        <f t="shared" si="28"/>
        <v>0</v>
      </c>
      <c r="M26" s="52">
        <f t="shared" si="28"/>
        <v>0</v>
      </c>
      <c r="N26" s="52">
        <f t="shared" si="28"/>
        <v>0</v>
      </c>
      <c r="O26" s="52">
        <f t="shared" ref="O26" si="29">O$6*O24</f>
        <v>0</v>
      </c>
      <c r="P26" s="52"/>
      <c r="Q26" s="52"/>
      <c r="R26" s="52"/>
    </row>
    <row r="27" spans="2:18" s="35" customFormat="1" ht="16">
      <c r="B27" s="58" t="s">
        <v>116</v>
      </c>
      <c r="C27" s="59"/>
      <c r="D27" s="60">
        <f>SUM(D25:D26)</f>
        <v>0</v>
      </c>
      <c r="E27" s="60" t="e">
        <f t="shared" ref="E27:N27" si="30">SUM(E25:E26)</f>
        <v>#DIV/0!</v>
      </c>
      <c r="F27" s="60" t="e">
        <f t="shared" si="30"/>
        <v>#DIV/0!</v>
      </c>
      <c r="G27" s="60" t="e">
        <f t="shared" si="30"/>
        <v>#DIV/0!</v>
      </c>
      <c r="H27" s="60" t="e">
        <f t="shared" si="30"/>
        <v>#DIV/0!</v>
      </c>
      <c r="I27" s="60" t="e">
        <f t="shared" si="30"/>
        <v>#DIV/0!</v>
      </c>
      <c r="J27" s="60" t="e">
        <f t="shared" si="30"/>
        <v>#DIV/0!</v>
      </c>
      <c r="K27" s="60" t="e">
        <f t="shared" si="30"/>
        <v>#DIV/0!</v>
      </c>
      <c r="L27" s="60" t="e">
        <f t="shared" si="30"/>
        <v>#DIV/0!</v>
      </c>
      <c r="M27" s="60" t="e">
        <f t="shared" si="30"/>
        <v>#DIV/0!</v>
      </c>
      <c r="N27" s="60" t="e">
        <f t="shared" si="30"/>
        <v>#DIV/0!</v>
      </c>
      <c r="O27" s="60" t="e">
        <f t="shared" ref="O27" si="31">SUM(O25:O26)</f>
        <v>#DIV/0!</v>
      </c>
      <c r="P27" s="60"/>
      <c r="Q27" s="60"/>
      <c r="R27" s="60"/>
    </row>
    <row r="28" spans="2:18" s="37" customFormat="1" ht="16">
      <c r="B28" s="400" t="s">
        <v>119</v>
      </c>
      <c r="C28" s="402"/>
      <c r="D28" s="402">
        <f t="shared" ref="D28:O28" si="32">(D27/D$3)</f>
        <v>0</v>
      </c>
      <c r="E28" s="402" t="e">
        <f t="shared" si="32"/>
        <v>#DIV/0!</v>
      </c>
      <c r="F28" s="402" t="e">
        <f t="shared" si="32"/>
        <v>#DIV/0!</v>
      </c>
      <c r="G28" s="402" t="e">
        <f t="shared" si="32"/>
        <v>#DIV/0!</v>
      </c>
      <c r="H28" s="402" t="e">
        <f t="shared" si="32"/>
        <v>#DIV/0!</v>
      </c>
      <c r="I28" s="402" t="e">
        <f t="shared" si="32"/>
        <v>#DIV/0!</v>
      </c>
      <c r="J28" s="402" t="e">
        <f t="shared" si="32"/>
        <v>#DIV/0!</v>
      </c>
      <c r="K28" s="402" t="e">
        <f t="shared" si="32"/>
        <v>#DIV/0!</v>
      </c>
      <c r="L28" s="402" t="e">
        <f t="shared" si="32"/>
        <v>#DIV/0!</v>
      </c>
      <c r="M28" s="402" t="e">
        <f t="shared" si="32"/>
        <v>#DIV/0!</v>
      </c>
      <c r="N28" s="402" t="e">
        <f t="shared" si="32"/>
        <v>#DIV/0!</v>
      </c>
      <c r="O28" s="402" t="e">
        <f t="shared" si="32"/>
        <v>#DIV/0!</v>
      </c>
      <c r="P28" s="52"/>
      <c r="Q28" s="52"/>
      <c r="R28" s="52"/>
    </row>
    <row r="29" spans="2:18" s="37" customFormat="1" ht="16">
      <c r="B29" s="400" t="s">
        <v>118</v>
      </c>
      <c r="C29" s="402"/>
      <c r="D29" s="402">
        <f t="shared" ref="D29:O29" si="33">D28*HLOOKUP((D19+D22),$D2:$AT3,2,FALSE)</f>
        <v>0</v>
      </c>
      <c r="E29" s="402" t="e">
        <f t="shared" si="33"/>
        <v>#DIV/0!</v>
      </c>
      <c r="F29" s="402" t="e">
        <f t="shared" si="33"/>
        <v>#DIV/0!</v>
      </c>
      <c r="G29" s="402" t="e">
        <f t="shared" si="33"/>
        <v>#DIV/0!</v>
      </c>
      <c r="H29" s="402" t="e">
        <f t="shared" si="33"/>
        <v>#DIV/0!</v>
      </c>
      <c r="I29" s="402" t="e">
        <f t="shared" si="33"/>
        <v>#DIV/0!</v>
      </c>
      <c r="J29" s="402" t="e">
        <f t="shared" si="33"/>
        <v>#DIV/0!</v>
      </c>
      <c r="K29" s="402" t="e">
        <f t="shared" si="33"/>
        <v>#DIV/0!</v>
      </c>
      <c r="L29" s="402" t="e">
        <f t="shared" si="33"/>
        <v>#DIV/0!</v>
      </c>
      <c r="M29" s="402" t="e">
        <f t="shared" si="33"/>
        <v>#DIV/0!</v>
      </c>
      <c r="N29" s="402" t="e">
        <f t="shared" si="33"/>
        <v>#DIV/0!</v>
      </c>
      <c r="O29" s="402" t="e">
        <f t="shared" si="33"/>
        <v>#DIV/0!</v>
      </c>
      <c r="P29" s="52"/>
      <c r="Q29" s="52"/>
      <c r="R29" s="52"/>
    </row>
    <row r="30" spans="2:18" s="37" customFormat="1">
      <c r="B30" s="51"/>
      <c r="C30" s="52"/>
      <c r="D30" s="52"/>
      <c r="E30" s="52"/>
      <c r="F30" s="52"/>
      <c r="G30" s="52"/>
      <c r="H30" s="52"/>
      <c r="I30" s="52"/>
      <c r="J30" s="52"/>
      <c r="K30" s="52"/>
      <c r="L30" s="52"/>
      <c r="M30" s="52"/>
      <c r="N30" s="52"/>
      <c r="O30" s="52"/>
      <c r="P30" s="52"/>
      <c r="Q30" s="52"/>
      <c r="R30" s="52"/>
    </row>
    <row r="31" spans="2:18" s="37" customFormat="1" ht="16">
      <c r="B31" s="51" t="s">
        <v>112</v>
      </c>
      <c r="C31" s="57"/>
      <c r="D31" s="52">
        <f t="shared" ref="D31:N31" si="34">-NPV(D21,D27,D34:D37,(D38-D29))</f>
        <v>0</v>
      </c>
      <c r="E31" s="52" t="e">
        <f t="shared" si="34"/>
        <v>#DIV/0!</v>
      </c>
      <c r="F31" s="52" t="e">
        <f t="shared" si="34"/>
        <v>#DIV/0!</v>
      </c>
      <c r="G31" s="52" t="e">
        <f t="shared" si="34"/>
        <v>#DIV/0!</v>
      </c>
      <c r="H31" s="52" t="e">
        <f t="shared" si="34"/>
        <v>#DIV/0!</v>
      </c>
      <c r="I31" s="52" t="e">
        <f t="shared" si="34"/>
        <v>#DIV/0!</v>
      </c>
      <c r="J31" s="52" t="e">
        <f t="shared" si="34"/>
        <v>#DIV/0!</v>
      </c>
      <c r="K31" s="52" t="e">
        <f t="shared" si="34"/>
        <v>#DIV/0!</v>
      </c>
      <c r="L31" s="52" t="e">
        <f t="shared" si="34"/>
        <v>#DIV/0!</v>
      </c>
      <c r="M31" s="52" t="e">
        <f t="shared" si="34"/>
        <v>#DIV/0!</v>
      </c>
      <c r="N31" s="52" t="e">
        <f t="shared" si="34"/>
        <v>#DIV/0!</v>
      </c>
      <c r="O31" s="52" t="e">
        <f t="shared" ref="O31" si="35">-NPV(O21,O27,O34:O37,(O38-O29))</f>
        <v>#DIV/0!</v>
      </c>
      <c r="P31" s="52"/>
      <c r="Q31" s="52"/>
      <c r="R31" s="52"/>
    </row>
    <row r="32" spans="2:18" s="37" customFormat="1">
      <c r="B32" s="51"/>
      <c r="C32" s="74"/>
    </row>
    <row r="33" spans="2:18" s="37" customFormat="1">
      <c r="B33" s="51">
        <v>0</v>
      </c>
      <c r="C33" s="52"/>
      <c r="D33" s="52"/>
      <c r="E33" s="52"/>
      <c r="F33" s="52"/>
      <c r="G33" s="52"/>
      <c r="H33" s="52"/>
      <c r="I33" s="52"/>
      <c r="J33" s="52"/>
      <c r="K33" s="52"/>
      <c r="L33" s="52"/>
      <c r="M33" s="52"/>
      <c r="N33" s="52"/>
      <c r="O33" s="52"/>
      <c r="P33" s="52"/>
      <c r="Q33" s="52"/>
      <c r="R33" s="52"/>
    </row>
    <row r="34" spans="2:18" s="37" customFormat="1">
      <c r="B34" s="51">
        <v>1</v>
      </c>
      <c r="C34" s="52"/>
      <c r="D34" s="52">
        <f t="shared" ref="D34:M34" si="36">-D$28*D$20*E$3</f>
        <v>0</v>
      </c>
      <c r="E34" s="52" t="e">
        <f t="shared" si="36"/>
        <v>#DIV/0!</v>
      </c>
      <c r="F34" s="52" t="e">
        <f t="shared" si="36"/>
        <v>#DIV/0!</v>
      </c>
      <c r="G34" s="52" t="e">
        <f t="shared" si="36"/>
        <v>#DIV/0!</v>
      </c>
      <c r="H34" s="52" t="e">
        <f t="shared" si="36"/>
        <v>#DIV/0!</v>
      </c>
      <c r="I34" s="52" t="e">
        <f t="shared" si="36"/>
        <v>#DIV/0!</v>
      </c>
      <c r="J34" s="52" t="e">
        <f t="shared" si="36"/>
        <v>#DIV/0!</v>
      </c>
      <c r="K34" s="52" t="e">
        <f t="shared" si="36"/>
        <v>#DIV/0!</v>
      </c>
      <c r="L34" s="52" t="e">
        <f t="shared" si="36"/>
        <v>#DIV/0!</v>
      </c>
      <c r="M34" s="52" t="e">
        <f t="shared" si="36"/>
        <v>#DIV/0!</v>
      </c>
      <c r="N34" s="52" t="e">
        <f>-N$28*N$20*Supuestos!Q$14</f>
        <v>#DIV/0!</v>
      </c>
      <c r="O34" s="52" t="e">
        <f>-O$28*O$20*Supuestos!R$14</f>
        <v>#DIV/0!</v>
      </c>
      <c r="P34" s="52"/>
      <c r="Q34" s="52"/>
      <c r="R34" s="52"/>
    </row>
    <row r="35" spans="2:18" s="37" customFormat="1">
      <c r="B35" s="51">
        <v>2</v>
      </c>
      <c r="C35" s="52"/>
      <c r="D35" s="52">
        <f t="shared" ref="D35:L35" si="37">-D$28*D$20*F$3</f>
        <v>0</v>
      </c>
      <c r="E35" s="52" t="e">
        <f t="shared" si="37"/>
        <v>#DIV/0!</v>
      </c>
      <c r="F35" s="52" t="e">
        <f t="shared" si="37"/>
        <v>#DIV/0!</v>
      </c>
      <c r="G35" s="52" t="e">
        <f t="shared" si="37"/>
        <v>#DIV/0!</v>
      </c>
      <c r="H35" s="52" t="e">
        <f t="shared" si="37"/>
        <v>#DIV/0!</v>
      </c>
      <c r="I35" s="52" t="e">
        <f t="shared" si="37"/>
        <v>#DIV/0!</v>
      </c>
      <c r="J35" s="52" t="e">
        <f t="shared" si="37"/>
        <v>#DIV/0!</v>
      </c>
      <c r="K35" s="52" t="e">
        <f t="shared" si="37"/>
        <v>#DIV/0!</v>
      </c>
      <c r="L35" s="52" t="e">
        <f t="shared" si="37"/>
        <v>#DIV/0!</v>
      </c>
      <c r="M35" s="52" t="e">
        <f>-M$28*M$20*Supuestos!Q$14</f>
        <v>#DIV/0!</v>
      </c>
      <c r="N35" s="52" t="e">
        <f>-N$28*N$20*Supuestos!R$14</f>
        <v>#DIV/0!</v>
      </c>
      <c r="O35" s="52" t="e">
        <f>-O$28*O$20*Supuestos!S$14</f>
        <v>#DIV/0!</v>
      </c>
      <c r="P35" s="52"/>
      <c r="Q35" s="52"/>
      <c r="R35" s="52"/>
    </row>
    <row r="36" spans="2:18" s="37" customFormat="1">
      <c r="B36" s="51">
        <v>3</v>
      </c>
      <c r="C36" s="52"/>
      <c r="D36" s="52">
        <f t="shared" ref="D36:K36" si="38">-D$28*D$20*G$3</f>
        <v>0</v>
      </c>
      <c r="E36" s="52" t="e">
        <f t="shared" si="38"/>
        <v>#DIV/0!</v>
      </c>
      <c r="F36" s="52" t="e">
        <f t="shared" si="38"/>
        <v>#DIV/0!</v>
      </c>
      <c r="G36" s="52" t="e">
        <f t="shared" si="38"/>
        <v>#DIV/0!</v>
      </c>
      <c r="H36" s="52" t="e">
        <f t="shared" si="38"/>
        <v>#DIV/0!</v>
      </c>
      <c r="I36" s="52" t="e">
        <f t="shared" si="38"/>
        <v>#DIV/0!</v>
      </c>
      <c r="J36" s="52" t="e">
        <f t="shared" si="38"/>
        <v>#DIV/0!</v>
      </c>
      <c r="K36" s="52" t="e">
        <f t="shared" si="38"/>
        <v>#DIV/0!</v>
      </c>
      <c r="L36" s="52" t="e">
        <f>-L$28*L$20*Supuestos!Q$14</f>
        <v>#DIV/0!</v>
      </c>
      <c r="M36" s="52" t="e">
        <f>-M$28*M$20*Supuestos!R$14</f>
        <v>#DIV/0!</v>
      </c>
      <c r="N36" s="52" t="e">
        <f>-N$28*N$20*Supuestos!S$14</f>
        <v>#DIV/0!</v>
      </c>
      <c r="O36" s="52" t="e">
        <f>-O$28*O$20*Supuestos!T$14</f>
        <v>#DIV/0!</v>
      </c>
      <c r="P36" s="52"/>
      <c r="Q36" s="52"/>
      <c r="R36" s="52"/>
    </row>
    <row r="37" spans="2:18" s="37" customFormat="1">
      <c r="B37" s="51">
        <v>4</v>
      </c>
      <c r="C37" s="52"/>
      <c r="D37" s="52">
        <f t="shared" ref="D37:J37" si="39">-D$28*D$20*H$3</f>
        <v>0</v>
      </c>
      <c r="E37" s="52" t="e">
        <f t="shared" si="39"/>
        <v>#DIV/0!</v>
      </c>
      <c r="F37" s="52" t="e">
        <f t="shared" si="39"/>
        <v>#DIV/0!</v>
      </c>
      <c r="G37" s="52" t="e">
        <f t="shared" si="39"/>
        <v>#DIV/0!</v>
      </c>
      <c r="H37" s="52" t="e">
        <f t="shared" si="39"/>
        <v>#DIV/0!</v>
      </c>
      <c r="I37" s="52" t="e">
        <f t="shared" si="39"/>
        <v>#DIV/0!</v>
      </c>
      <c r="J37" s="52" t="e">
        <f t="shared" si="39"/>
        <v>#DIV/0!</v>
      </c>
      <c r="K37" s="52" t="e">
        <f>-K$28*K$20*Supuestos!Q$14</f>
        <v>#DIV/0!</v>
      </c>
      <c r="L37" s="52" t="e">
        <f>-L$28*L$20*Supuestos!R$14</f>
        <v>#DIV/0!</v>
      </c>
      <c r="M37" s="52" t="e">
        <f>-M$28*M$20*Supuestos!S$14</f>
        <v>#DIV/0!</v>
      </c>
      <c r="N37" s="52" t="e">
        <f>-N$28*N$20*Supuestos!T$14</f>
        <v>#DIV/0!</v>
      </c>
      <c r="O37" s="52" t="e">
        <f>-O$28*O$20*Supuestos!U$14</f>
        <v>#DIV/0!</v>
      </c>
      <c r="P37" s="52"/>
      <c r="Q37" s="52"/>
      <c r="R37" s="52"/>
    </row>
    <row r="38" spans="2:18" s="37" customFormat="1">
      <c r="B38" s="51">
        <v>5</v>
      </c>
      <c r="C38" s="52"/>
      <c r="D38" s="52">
        <f t="shared" ref="D38:I38" si="40">-D$28*D$20*I$3</f>
        <v>0</v>
      </c>
      <c r="E38" s="52" t="e">
        <f t="shared" si="40"/>
        <v>#DIV/0!</v>
      </c>
      <c r="F38" s="52" t="e">
        <f t="shared" si="40"/>
        <v>#DIV/0!</v>
      </c>
      <c r="G38" s="52" t="e">
        <f t="shared" si="40"/>
        <v>#DIV/0!</v>
      </c>
      <c r="H38" s="52" t="e">
        <f t="shared" si="40"/>
        <v>#DIV/0!</v>
      </c>
      <c r="I38" s="52" t="e">
        <f t="shared" si="40"/>
        <v>#DIV/0!</v>
      </c>
      <c r="J38" s="52" t="e">
        <f>-J$28*J$20*Supuestos!Q$14</f>
        <v>#DIV/0!</v>
      </c>
      <c r="K38" s="52" t="e">
        <f>-K$28*K$20*Supuestos!R$14</f>
        <v>#DIV/0!</v>
      </c>
      <c r="L38" s="52" t="e">
        <f>-L$28*L$20*Supuestos!S$14</f>
        <v>#DIV/0!</v>
      </c>
      <c r="M38" s="52" t="e">
        <f>-M$28*M$20*Supuestos!T$14</f>
        <v>#DIV/0!</v>
      </c>
      <c r="N38" s="57" t="e">
        <f>-N$28*N$20*Supuestos!U$14</f>
        <v>#DIV/0!</v>
      </c>
      <c r="O38" s="57" t="e">
        <f>-O$28*O$20*Supuestos!V$14</f>
        <v>#DIV/0!</v>
      </c>
      <c r="P38" s="52"/>
      <c r="Q38" s="52"/>
      <c r="R38" s="52"/>
    </row>
    <row r="39" spans="2:18" s="37" customFormat="1">
      <c r="B39" s="51"/>
    </row>
    <row r="40" spans="2:18" s="37" customFormat="1" ht="16">
      <c r="B40" s="51" t="s">
        <v>113</v>
      </c>
      <c r="C40" s="52"/>
      <c r="D40" s="52">
        <f>C34</f>
        <v>0</v>
      </c>
      <c r="E40" s="52">
        <f>D34+C35</f>
        <v>0</v>
      </c>
      <c r="F40" s="52" t="e">
        <f>E34+D35+C36</f>
        <v>#DIV/0!</v>
      </c>
      <c r="G40" s="52" t="e">
        <f>F34+E35+D36+C37</f>
        <v>#DIV/0!</v>
      </c>
      <c r="H40" s="52" t="e">
        <f>G34+F35+E36+D37+C38</f>
        <v>#DIV/0!</v>
      </c>
      <c r="I40" s="52" t="e">
        <f t="shared" ref="I40:O40" si="41">H34+G35+F36+E37+D38</f>
        <v>#DIV/0!</v>
      </c>
      <c r="J40" s="52" t="e">
        <f t="shared" si="41"/>
        <v>#DIV/0!</v>
      </c>
      <c r="K40" s="52" t="e">
        <f t="shared" si="41"/>
        <v>#DIV/0!</v>
      </c>
      <c r="L40" s="52" t="e">
        <f t="shared" si="41"/>
        <v>#DIV/0!</v>
      </c>
      <c r="M40" s="52" t="e">
        <f t="shared" si="41"/>
        <v>#DIV/0!</v>
      </c>
      <c r="N40" s="52" t="e">
        <f t="shared" si="41"/>
        <v>#DIV/0!</v>
      </c>
      <c r="O40" s="52" t="e">
        <f t="shared" si="41"/>
        <v>#DIV/0!</v>
      </c>
      <c r="P40" s="52"/>
      <c r="Q40" s="52"/>
      <c r="R40" s="52"/>
    </row>
    <row r="41" spans="2:18" s="37" customFormat="1" ht="16">
      <c r="B41" s="51" t="s">
        <v>114</v>
      </c>
      <c r="C41" s="52"/>
      <c r="D41" s="52">
        <f t="shared" ref="D41:J41" si="42">D33</f>
        <v>0</v>
      </c>
      <c r="E41" s="52">
        <f t="shared" si="42"/>
        <v>0</v>
      </c>
      <c r="F41" s="52">
        <f t="shared" si="42"/>
        <v>0</v>
      </c>
      <c r="G41" s="52">
        <f t="shared" si="42"/>
        <v>0</v>
      </c>
      <c r="H41" s="52">
        <f t="shared" si="42"/>
        <v>0</v>
      </c>
      <c r="I41" s="52">
        <f t="shared" si="42"/>
        <v>0</v>
      </c>
      <c r="J41" s="52">
        <f t="shared" si="42"/>
        <v>0</v>
      </c>
      <c r="K41" s="52">
        <f>K33</f>
        <v>0</v>
      </c>
      <c r="L41" s="52">
        <f>L33</f>
        <v>0</v>
      </c>
      <c r="M41" s="52">
        <f>M33</f>
        <v>0</v>
      </c>
      <c r="N41" s="52">
        <f>N33</f>
        <v>0</v>
      </c>
      <c r="O41" s="52">
        <f>O33</f>
        <v>0</v>
      </c>
      <c r="P41" s="52"/>
      <c r="Q41" s="52"/>
      <c r="R41" s="52"/>
    </row>
    <row r="42" spans="2:18" s="37" customFormat="1">
      <c r="B42" s="51"/>
      <c r="P42" s="52"/>
      <c r="Q42" s="52"/>
      <c r="R42" s="52"/>
    </row>
    <row r="43" spans="2:18" s="37" customFormat="1">
      <c r="B43" s="49">
        <v>10</v>
      </c>
      <c r="C43" s="50"/>
      <c r="D43" s="50">
        <v>2023</v>
      </c>
      <c r="E43" s="50">
        <v>2024</v>
      </c>
      <c r="F43" s="50">
        <v>2025</v>
      </c>
      <c r="G43" s="50">
        <v>2026</v>
      </c>
      <c r="H43" s="50">
        <v>2027</v>
      </c>
      <c r="I43" s="50">
        <v>2028</v>
      </c>
      <c r="J43" s="50">
        <v>2029</v>
      </c>
      <c r="K43" s="50">
        <v>2030</v>
      </c>
      <c r="L43" s="50">
        <v>2031</v>
      </c>
      <c r="M43" s="50">
        <v>2032</v>
      </c>
      <c r="N43" s="50">
        <v>2033</v>
      </c>
      <c r="O43" s="50">
        <v>2034</v>
      </c>
      <c r="P43" s="52"/>
      <c r="Q43" s="52"/>
      <c r="R43" s="52"/>
    </row>
    <row r="44" spans="2:18" s="37" customFormat="1" ht="16">
      <c r="B44" s="51" t="s">
        <v>105</v>
      </c>
      <c r="C44" s="54"/>
      <c r="D44" s="54">
        <f>Supuestos!F56</f>
        <v>0</v>
      </c>
      <c r="E44" s="54">
        <f>Supuestos!G56</f>
        <v>0</v>
      </c>
      <c r="F44" s="54">
        <f>Supuestos!H56</f>
        <v>0</v>
      </c>
      <c r="G44" s="54">
        <f>Supuestos!I56</f>
        <v>0</v>
      </c>
      <c r="H44" s="54">
        <f>Supuestos!J56</f>
        <v>0</v>
      </c>
      <c r="I44" s="54">
        <f>Supuestos!K56</f>
        <v>0</v>
      </c>
      <c r="J44" s="54">
        <f>Supuestos!L56</f>
        <v>0</v>
      </c>
      <c r="K44" s="54">
        <f>Supuestos!M56</f>
        <v>0</v>
      </c>
      <c r="L44" s="54">
        <f>Supuestos!N56</f>
        <v>0</v>
      </c>
      <c r="M44" s="54">
        <f>Supuestos!O56</f>
        <v>0</v>
      </c>
      <c r="N44" s="54">
        <f>Supuestos!P56</f>
        <v>0</v>
      </c>
      <c r="O44" s="54">
        <f>Supuestos!Q56</f>
        <v>0</v>
      </c>
      <c r="P44" s="52"/>
      <c r="Q44" s="52"/>
      <c r="R44" s="52"/>
    </row>
    <row r="45" spans="2:18" s="37" customFormat="1" ht="16">
      <c r="B45" s="51" t="s">
        <v>89</v>
      </c>
      <c r="C45" s="54"/>
      <c r="D45" s="54">
        <f>Supuestos!F57</f>
        <v>0</v>
      </c>
      <c r="E45" s="54">
        <f>Supuestos!G57</f>
        <v>0</v>
      </c>
      <c r="F45" s="54">
        <f>Supuestos!H57</f>
        <v>0</v>
      </c>
      <c r="G45" s="54">
        <f>Supuestos!I57</f>
        <v>0</v>
      </c>
      <c r="H45" s="54">
        <f>Supuestos!J57</f>
        <v>0</v>
      </c>
      <c r="I45" s="54">
        <f>Supuestos!K57</f>
        <v>0</v>
      </c>
      <c r="J45" s="54">
        <f>Supuestos!L57</f>
        <v>0</v>
      </c>
      <c r="K45" s="54">
        <f>Supuestos!M57</f>
        <v>0</v>
      </c>
      <c r="L45" s="54">
        <f>Supuestos!N57</f>
        <v>0</v>
      </c>
      <c r="M45" s="54">
        <f>Supuestos!O57</f>
        <v>0</v>
      </c>
      <c r="N45" s="54">
        <f>Supuestos!P57</f>
        <v>0</v>
      </c>
      <c r="O45" s="54">
        <f>Supuestos!Q57</f>
        <v>0</v>
      </c>
      <c r="P45" s="52"/>
      <c r="Q45" s="52"/>
      <c r="R45" s="52"/>
    </row>
    <row r="46" spans="2:18" s="37" customFormat="1" ht="16">
      <c r="B46" s="51" t="s">
        <v>90</v>
      </c>
      <c r="C46" s="56"/>
      <c r="D46" s="56">
        <f>Supuestos!F58</f>
        <v>10</v>
      </c>
      <c r="E46" s="56">
        <f>Supuestos!G58</f>
        <v>10</v>
      </c>
      <c r="F46" s="56">
        <f>Supuestos!H58</f>
        <v>10</v>
      </c>
      <c r="G46" s="56">
        <f>Supuestos!I58</f>
        <v>10</v>
      </c>
      <c r="H46" s="56">
        <f>Supuestos!J58</f>
        <v>10</v>
      </c>
      <c r="I46" s="56">
        <f>Supuestos!K58</f>
        <v>10</v>
      </c>
      <c r="J46" s="56">
        <f>Supuestos!L58</f>
        <v>10</v>
      </c>
      <c r="K46" s="56">
        <f>Supuestos!M58</f>
        <v>10</v>
      </c>
      <c r="L46" s="56">
        <f>Supuestos!N58</f>
        <v>10</v>
      </c>
      <c r="M46" s="56">
        <f>Supuestos!O58</f>
        <v>10</v>
      </c>
      <c r="N46" s="56">
        <f>Supuestos!P58</f>
        <v>10</v>
      </c>
      <c r="O46" s="56">
        <f>Supuestos!Q58</f>
        <v>10</v>
      </c>
      <c r="P46" s="52"/>
      <c r="Q46" s="52"/>
      <c r="R46" s="52"/>
    </row>
    <row r="47" spans="2:18" s="37" customFormat="1" ht="16">
      <c r="B47" s="51" t="s">
        <v>79</v>
      </c>
      <c r="C47" s="56"/>
      <c r="D47" s="56">
        <f t="shared" ref="D47:N47" si="43">D43+D46</f>
        <v>2033</v>
      </c>
      <c r="E47" s="56">
        <f t="shared" si="43"/>
        <v>2034</v>
      </c>
      <c r="F47" s="56">
        <f t="shared" si="43"/>
        <v>2035</v>
      </c>
      <c r="G47" s="56">
        <f t="shared" si="43"/>
        <v>2036</v>
      </c>
      <c r="H47" s="56">
        <f t="shared" si="43"/>
        <v>2037</v>
      </c>
      <c r="I47" s="56">
        <f t="shared" si="43"/>
        <v>2038</v>
      </c>
      <c r="J47" s="56">
        <f t="shared" si="43"/>
        <v>2039</v>
      </c>
      <c r="K47" s="56">
        <f t="shared" si="43"/>
        <v>2040</v>
      </c>
      <c r="L47" s="56">
        <f t="shared" si="43"/>
        <v>2041</v>
      </c>
      <c r="M47" s="56">
        <f t="shared" si="43"/>
        <v>2042</v>
      </c>
      <c r="N47" s="56">
        <f t="shared" si="43"/>
        <v>2043</v>
      </c>
      <c r="O47" s="56">
        <f t="shared" ref="O47" si="44">O43+O46</f>
        <v>2044</v>
      </c>
      <c r="P47" s="56"/>
      <c r="Q47" s="56"/>
      <c r="R47" s="56"/>
    </row>
    <row r="48" spans="2:18" s="37" customFormat="1" ht="16">
      <c r="B48" s="51" t="s">
        <v>107</v>
      </c>
      <c r="C48" s="54"/>
      <c r="D48" s="54">
        <f>Supuestos!F48</f>
        <v>0</v>
      </c>
      <c r="E48" s="54">
        <f>Supuestos!G48</f>
        <v>0</v>
      </c>
      <c r="F48" s="54">
        <f>Supuestos!H48</f>
        <v>0</v>
      </c>
      <c r="G48" s="54">
        <f>Supuestos!I48</f>
        <v>0</v>
      </c>
      <c r="H48" s="54">
        <f>Supuestos!J48</f>
        <v>0</v>
      </c>
      <c r="I48" s="54">
        <f>Supuestos!K48</f>
        <v>0</v>
      </c>
      <c r="J48" s="54">
        <f>Supuestos!L48</f>
        <v>0</v>
      </c>
      <c r="K48" s="54">
        <f>Supuestos!M48</f>
        <v>0</v>
      </c>
      <c r="L48" s="54">
        <f>Supuestos!N48</f>
        <v>0</v>
      </c>
      <c r="M48" s="54">
        <f>Supuestos!O48</f>
        <v>0</v>
      </c>
      <c r="N48" s="54">
        <f>Supuestos!P48</f>
        <v>0</v>
      </c>
      <c r="O48" s="54">
        <f>Supuestos!Q48</f>
        <v>0</v>
      </c>
      <c r="P48" s="52"/>
      <c r="Q48" s="52"/>
      <c r="R48" s="52"/>
    </row>
    <row r="49" spans="1:18" s="37" customFormat="1" ht="16">
      <c r="B49" s="51" t="s">
        <v>302</v>
      </c>
      <c r="C49" s="52"/>
      <c r="D49" s="52">
        <f t="shared" ref="D49:O49" si="45">D$5*D48</f>
        <v>0</v>
      </c>
      <c r="E49" s="52" t="e">
        <f t="shared" si="45"/>
        <v>#DIV/0!</v>
      </c>
      <c r="F49" s="52" t="e">
        <f t="shared" si="45"/>
        <v>#DIV/0!</v>
      </c>
      <c r="G49" s="52" t="e">
        <f t="shared" si="45"/>
        <v>#DIV/0!</v>
      </c>
      <c r="H49" s="52" t="e">
        <f t="shared" si="45"/>
        <v>#DIV/0!</v>
      </c>
      <c r="I49" s="52" t="e">
        <f t="shared" si="45"/>
        <v>#DIV/0!</v>
      </c>
      <c r="J49" s="52" t="e">
        <f t="shared" si="45"/>
        <v>#DIV/0!</v>
      </c>
      <c r="K49" s="52" t="e">
        <f t="shared" si="45"/>
        <v>#DIV/0!</v>
      </c>
      <c r="L49" s="52" t="e">
        <f t="shared" si="45"/>
        <v>#DIV/0!</v>
      </c>
      <c r="M49" s="52" t="e">
        <f t="shared" si="45"/>
        <v>#DIV/0!</v>
      </c>
      <c r="N49" s="52" t="e">
        <f t="shared" si="45"/>
        <v>#DIV/0!</v>
      </c>
      <c r="O49" s="52" t="e">
        <f t="shared" si="45"/>
        <v>#DIV/0!</v>
      </c>
      <c r="P49" s="52"/>
      <c r="Q49" s="52"/>
      <c r="R49" s="52"/>
    </row>
    <row r="50" spans="1:18" s="37" customFormat="1" ht="16">
      <c r="B50" s="51" t="s">
        <v>173</v>
      </c>
      <c r="C50" s="52"/>
      <c r="D50" s="52">
        <f t="shared" ref="D50:N50" si="46">D$6*D48</f>
        <v>0</v>
      </c>
      <c r="E50" s="52">
        <f t="shared" si="46"/>
        <v>0</v>
      </c>
      <c r="F50" s="52">
        <f t="shared" si="46"/>
        <v>0</v>
      </c>
      <c r="G50" s="52">
        <f t="shared" si="46"/>
        <v>0</v>
      </c>
      <c r="H50" s="52">
        <f t="shared" si="46"/>
        <v>0</v>
      </c>
      <c r="I50" s="52">
        <f t="shared" si="46"/>
        <v>0</v>
      </c>
      <c r="J50" s="52">
        <f t="shared" si="46"/>
        <v>0</v>
      </c>
      <c r="K50" s="52">
        <f t="shared" si="46"/>
        <v>0</v>
      </c>
      <c r="L50" s="52">
        <f t="shared" si="46"/>
        <v>0</v>
      </c>
      <c r="M50" s="52">
        <f t="shared" si="46"/>
        <v>0</v>
      </c>
      <c r="N50" s="52">
        <f t="shared" si="46"/>
        <v>0</v>
      </c>
      <c r="O50" s="52">
        <f t="shared" ref="O50" si="47">O$6*O48</f>
        <v>0</v>
      </c>
      <c r="P50" s="52"/>
      <c r="Q50" s="52"/>
      <c r="R50" s="52"/>
    </row>
    <row r="51" spans="1:18" s="35" customFormat="1" ht="16">
      <c r="B51" s="58" t="s">
        <v>116</v>
      </c>
      <c r="C51" s="59"/>
      <c r="D51" s="60">
        <f t="shared" ref="D51:N51" si="48">SUM(D49:D50)</f>
        <v>0</v>
      </c>
      <c r="E51" s="60" t="e">
        <f t="shared" si="48"/>
        <v>#DIV/0!</v>
      </c>
      <c r="F51" s="60" t="e">
        <f t="shared" si="48"/>
        <v>#DIV/0!</v>
      </c>
      <c r="G51" s="60" t="e">
        <f t="shared" si="48"/>
        <v>#DIV/0!</v>
      </c>
      <c r="H51" s="60" t="e">
        <f t="shared" si="48"/>
        <v>#DIV/0!</v>
      </c>
      <c r="I51" s="60" t="e">
        <f t="shared" si="48"/>
        <v>#DIV/0!</v>
      </c>
      <c r="J51" s="60" t="e">
        <f t="shared" si="48"/>
        <v>#DIV/0!</v>
      </c>
      <c r="K51" s="60" t="e">
        <f t="shared" si="48"/>
        <v>#DIV/0!</v>
      </c>
      <c r="L51" s="60" t="e">
        <f t="shared" si="48"/>
        <v>#DIV/0!</v>
      </c>
      <c r="M51" s="60" t="e">
        <f t="shared" si="48"/>
        <v>#DIV/0!</v>
      </c>
      <c r="N51" s="60" t="e">
        <f t="shared" si="48"/>
        <v>#DIV/0!</v>
      </c>
      <c r="O51" s="60" t="e">
        <f t="shared" ref="O51" si="49">SUM(O49:O50)</f>
        <v>#DIV/0!</v>
      </c>
      <c r="P51" s="60"/>
      <c r="Q51" s="60"/>
      <c r="R51" s="60"/>
    </row>
    <row r="52" spans="1:18" s="401" customFormat="1" ht="16">
      <c r="A52" s="403"/>
      <c r="B52" s="400" t="s">
        <v>119</v>
      </c>
      <c r="C52" s="402"/>
      <c r="D52" s="465">
        <f t="shared" ref="D52:O52" si="50">(D51/D$3)</f>
        <v>0</v>
      </c>
      <c r="E52" s="465" t="e">
        <f t="shared" si="50"/>
        <v>#DIV/0!</v>
      </c>
      <c r="F52" s="465" t="e">
        <f t="shared" si="50"/>
        <v>#DIV/0!</v>
      </c>
      <c r="G52" s="465" t="e">
        <f t="shared" si="50"/>
        <v>#DIV/0!</v>
      </c>
      <c r="H52" s="465" t="e">
        <f t="shared" si="50"/>
        <v>#DIV/0!</v>
      </c>
      <c r="I52" s="465" t="e">
        <f t="shared" si="50"/>
        <v>#DIV/0!</v>
      </c>
      <c r="J52" s="465" t="e">
        <f t="shared" si="50"/>
        <v>#DIV/0!</v>
      </c>
      <c r="K52" s="465" t="e">
        <f t="shared" si="50"/>
        <v>#DIV/0!</v>
      </c>
      <c r="L52" s="465" t="e">
        <f t="shared" si="50"/>
        <v>#DIV/0!</v>
      </c>
      <c r="M52" s="465" t="e">
        <f t="shared" si="50"/>
        <v>#DIV/0!</v>
      </c>
      <c r="N52" s="465" t="e">
        <f t="shared" si="50"/>
        <v>#DIV/0!</v>
      </c>
      <c r="O52" s="465" t="e">
        <f t="shared" si="50"/>
        <v>#DIV/0!</v>
      </c>
      <c r="P52" s="402"/>
      <c r="Q52" s="402"/>
      <c r="R52" s="402"/>
    </row>
    <row r="53" spans="1:18" s="37" customFormat="1" ht="16">
      <c r="A53" s="35"/>
      <c r="B53" s="58" t="s">
        <v>118</v>
      </c>
      <c r="C53" s="60"/>
      <c r="D53" s="60">
        <f t="shared" ref="D53:O53" si="51">D52*HLOOKUP((D43+D46),$D2:$AT3,2,FALSE)</f>
        <v>0</v>
      </c>
      <c r="E53" s="60" t="e">
        <f t="shared" si="51"/>
        <v>#DIV/0!</v>
      </c>
      <c r="F53" s="60" t="e">
        <f t="shared" si="51"/>
        <v>#DIV/0!</v>
      </c>
      <c r="G53" s="60" t="e">
        <f t="shared" si="51"/>
        <v>#DIV/0!</v>
      </c>
      <c r="H53" s="60" t="e">
        <f t="shared" si="51"/>
        <v>#DIV/0!</v>
      </c>
      <c r="I53" s="60" t="e">
        <f t="shared" si="51"/>
        <v>#DIV/0!</v>
      </c>
      <c r="J53" s="60" t="e">
        <f t="shared" si="51"/>
        <v>#DIV/0!</v>
      </c>
      <c r="K53" s="60" t="e">
        <f t="shared" si="51"/>
        <v>#DIV/0!</v>
      </c>
      <c r="L53" s="60" t="e">
        <f t="shared" si="51"/>
        <v>#DIV/0!</v>
      </c>
      <c r="M53" s="60" t="e">
        <f t="shared" si="51"/>
        <v>#DIV/0!</v>
      </c>
      <c r="N53" s="60" t="e">
        <f t="shared" si="51"/>
        <v>#DIV/0!</v>
      </c>
      <c r="O53" s="60" t="e">
        <f t="shared" si="51"/>
        <v>#DIV/0!</v>
      </c>
      <c r="P53" s="52"/>
      <c r="Q53" s="52"/>
      <c r="R53" s="52"/>
    </row>
    <row r="54" spans="1:18" s="37" customFormat="1">
      <c r="B54" s="51"/>
      <c r="C54" s="52"/>
      <c r="D54" s="52"/>
      <c r="E54" s="52"/>
      <c r="F54" s="52"/>
      <c r="G54" s="52"/>
      <c r="H54" s="52"/>
      <c r="I54" s="52"/>
      <c r="J54" s="52"/>
      <c r="K54" s="52"/>
      <c r="L54" s="52"/>
      <c r="M54" s="52"/>
      <c r="N54" s="52"/>
      <c r="O54" s="52"/>
      <c r="P54" s="52"/>
      <c r="Q54" s="52"/>
      <c r="R54" s="52"/>
    </row>
    <row r="55" spans="1:18" s="37" customFormat="1" ht="16">
      <c r="B55" s="51" t="s">
        <v>112</v>
      </c>
      <c r="C55" s="52"/>
      <c r="D55" s="57">
        <f>NPV(D$45+3%,D58:D66,(D67+D53))-D51</f>
        <v>0</v>
      </c>
      <c r="E55" s="57" t="e">
        <f t="shared" ref="E55:N55" si="52">NPV(E$45+3%,E58:E66,(E67+E53))-E51</f>
        <v>#DIV/0!</v>
      </c>
      <c r="F55" s="57" t="e">
        <f t="shared" si="52"/>
        <v>#DIV/0!</v>
      </c>
      <c r="G55" s="57" t="e">
        <f t="shared" si="52"/>
        <v>#DIV/0!</v>
      </c>
      <c r="H55" s="57" t="e">
        <f t="shared" si="52"/>
        <v>#DIV/0!</v>
      </c>
      <c r="I55" s="57" t="e">
        <f t="shared" si="52"/>
        <v>#DIV/0!</v>
      </c>
      <c r="J55" s="57" t="e">
        <f t="shared" si="52"/>
        <v>#DIV/0!</v>
      </c>
      <c r="K55" s="57" t="e">
        <f t="shared" si="52"/>
        <v>#DIV/0!</v>
      </c>
      <c r="L55" s="57" t="e">
        <f t="shared" si="52"/>
        <v>#DIV/0!</v>
      </c>
      <c r="M55" s="57" t="e">
        <f t="shared" si="52"/>
        <v>#DIV/0!</v>
      </c>
      <c r="N55" s="57" t="e">
        <f t="shared" si="52"/>
        <v>#DIV/0!</v>
      </c>
      <c r="O55" s="57" t="e">
        <f t="shared" ref="O55" si="53">NPV(O$45+3%,O58:O66,(O67+O53))-O51</f>
        <v>#DIV/0!</v>
      </c>
      <c r="P55" s="52"/>
      <c r="Q55" s="52"/>
      <c r="R55" s="52"/>
    </row>
    <row r="56" spans="1:18" s="37" customFormat="1">
      <c r="B56" s="51"/>
      <c r="D56" s="74"/>
      <c r="P56" s="52"/>
      <c r="Q56" s="52"/>
      <c r="R56" s="52"/>
    </row>
    <row r="57" spans="1:18" s="37" customFormat="1">
      <c r="B57" s="51">
        <v>0</v>
      </c>
      <c r="C57" s="52"/>
      <c r="D57" s="52"/>
      <c r="E57" s="52"/>
      <c r="F57" s="52"/>
      <c r="G57" s="52"/>
      <c r="H57" s="52"/>
      <c r="I57" s="52"/>
      <c r="J57" s="52"/>
      <c r="K57" s="52"/>
      <c r="L57" s="52"/>
      <c r="M57" s="52"/>
      <c r="N57" s="52"/>
      <c r="O57" s="52"/>
      <c r="P57" s="52"/>
      <c r="Q57" s="52"/>
      <c r="R57" s="52"/>
    </row>
    <row r="58" spans="1:18" s="37" customFormat="1">
      <c r="B58" s="51">
        <v>1</v>
      </c>
      <c r="C58" s="52"/>
      <c r="D58" s="52">
        <f t="shared" ref="D58:M58" si="54">D52*D44*E$3</f>
        <v>0</v>
      </c>
      <c r="E58" s="52" t="e">
        <f t="shared" si="54"/>
        <v>#DIV/0!</v>
      </c>
      <c r="F58" s="52" t="e">
        <f t="shared" si="54"/>
        <v>#DIV/0!</v>
      </c>
      <c r="G58" s="52" t="e">
        <f t="shared" si="54"/>
        <v>#DIV/0!</v>
      </c>
      <c r="H58" s="52" t="e">
        <f t="shared" si="54"/>
        <v>#DIV/0!</v>
      </c>
      <c r="I58" s="52" t="e">
        <f t="shared" si="54"/>
        <v>#DIV/0!</v>
      </c>
      <c r="J58" s="52" t="e">
        <f t="shared" si="54"/>
        <v>#DIV/0!</v>
      </c>
      <c r="K58" s="52" t="e">
        <f t="shared" si="54"/>
        <v>#DIV/0!</v>
      </c>
      <c r="L58" s="52" t="e">
        <f t="shared" si="54"/>
        <v>#DIV/0!</v>
      </c>
      <c r="M58" s="52" t="e">
        <f t="shared" si="54"/>
        <v>#DIV/0!</v>
      </c>
      <c r="N58" s="52" t="e">
        <f>N52*N44*Supuestos!Q$14</f>
        <v>#DIV/0!</v>
      </c>
      <c r="O58" s="52" t="e">
        <f>O52*O44*Supuestos!R$14</f>
        <v>#DIV/0!</v>
      </c>
      <c r="P58" s="52"/>
      <c r="Q58" s="54"/>
      <c r="R58" s="52"/>
    </row>
    <row r="59" spans="1:18" s="37" customFormat="1">
      <c r="B59" s="51">
        <v>2</v>
      </c>
      <c r="C59" s="52"/>
      <c r="D59" s="52">
        <f t="shared" ref="D59:L59" si="55">D52*D44*F$3</f>
        <v>0</v>
      </c>
      <c r="E59" s="52" t="e">
        <f t="shared" si="55"/>
        <v>#DIV/0!</v>
      </c>
      <c r="F59" s="52" t="e">
        <f t="shared" si="55"/>
        <v>#DIV/0!</v>
      </c>
      <c r="G59" s="52" t="e">
        <f t="shared" si="55"/>
        <v>#DIV/0!</v>
      </c>
      <c r="H59" s="52" t="e">
        <f t="shared" si="55"/>
        <v>#DIV/0!</v>
      </c>
      <c r="I59" s="52" t="e">
        <f t="shared" si="55"/>
        <v>#DIV/0!</v>
      </c>
      <c r="J59" s="52" t="e">
        <f t="shared" si="55"/>
        <v>#DIV/0!</v>
      </c>
      <c r="K59" s="52" t="e">
        <f t="shared" si="55"/>
        <v>#DIV/0!</v>
      </c>
      <c r="L59" s="52" t="e">
        <f t="shared" si="55"/>
        <v>#DIV/0!</v>
      </c>
      <c r="M59" s="52" t="e">
        <f>M52*M44*Supuestos!Q$14</f>
        <v>#DIV/0!</v>
      </c>
      <c r="N59" s="52" t="e">
        <f>N52*N44*Supuestos!R$14</f>
        <v>#DIV/0!</v>
      </c>
      <c r="O59" s="52" t="e">
        <f>O52*O44*Supuestos!S$14</f>
        <v>#DIV/0!</v>
      </c>
      <c r="P59" s="52"/>
      <c r="Q59" s="52"/>
      <c r="R59" s="52"/>
    </row>
    <row r="60" spans="1:18" s="37" customFormat="1">
      <c r="B60" s="51">
        <v>3</v>
      </c>
      <c r="C60" s="52"/>
      <c r="D60" s="52">
        <f t="shared" ref="D60:K60" si="56">D52*D44*G$3</f>
        <v>0</v>
      </c>
      <c r="E60" s="52" t="e">
        <f t="shared" si="56"/>
        <v>#DIV/0!</v>
      </c>
      <c r="F60" s="52" t="e">
        <f t="shared" si="56"/>
        <v>#DIV/0!</v>
      </c>
      <c r="G60" s="52" t="e">
        <f t="shared" si="56"/>
        <v>#DIV/0!</v>
      </c>
      <c r="H60" s="52" t="e">
        <f t="shared" si="56"/>
        <v>#DIV/0!</v>
      </c>
      <c r="I60" s="52" t="e">
        <f t="shared" si="56"/>
        <v>#DIV/0!</v>
      </c>
      <c r="J60" s="52" t="e">
        <f t="shared" si="56"/>
        <v>#DIV/0!</v>
      </c>
      <c r="K60" s="52" t="e">
        <f t="shared" si="56"/>
        <v>#DIV/0!</v>
      </c>
      <c r="L60" s="52" t="e">
        <f>L52*L44*Supuestos!Q$14</f>
        <v>#DIV/0!</v>
      </c>
      <c r="M60" s="52" t="e">
        <f>M52*M44*Supuestos!R$14</f>
        <v>#DIV/0!</v>
      </c>
      <c r="N60" s="52" t="e">
        <f>N52*N44*Supuestos!S$14</f>
        <v>#DIV/0!</v>
      </c>
      <c r="O60" s="52" t="e">
        <f>O52*O44*Supuestos!T$14</f>
        <v>#DIV/0!</v>
      </c>
      <c r="P60" s="52"/>
      <c r="Q60" s="52"/>
      <c r="R60" s="52"/>
    </row>
    <row r="61" spans="1:18" s="37" customFormat="1">
      <c r="B61" s="51">
        <v>4</v>
      </c>
      <c r="C61" s="52"/>
      <c r="D61" s="52">
        <f t="shared" ref="D61:J61" si="57">D52*D44*H$3</f>
        <v>0</v>
      </c>
      <c r="E61" s="52" t="e">
        <f t="shared" si="57"/>
        <v>#DIV/0!</v>
      </c>
      <c r="F61" s="52" t="e">
        <f t="shared" si="57"/>
        <v>#DIV/0!</v>
      </c>
      <c r="G61" s="52" t="e">
        <f t="shared" si="57"/>
        <v>#DIV/0!</v>
      </c>
      <c r="H61" s="52" t="e">
        <f t="shared" si="57"/>
        <v>#DIV/0!</v>
      </c>
      <c r="I61" s="52" t="e">
        <f t="shared" si="57"/>
        <v>#DIV/0!</v>
      </c>
      <c r="J61" s="52" t="e">
        <f t="shared" si="57"/>
        <v>#DIV/0!</v>
      </c>
      <c r="K61" s="52" t="e">
        <f>K52*K44*Supuestos!Q$14</f>
        <v>#DIV/0!</v>
      </c>
      <c r="L61" s="52" t="e">
        <f>L52*L44*Supuestos!R$14</f>
        <v>#DIV/0!</v>
      </c>
      <c r="M61" s="52" t="e">
        <f>M52*M44*Supuestos!S$14</f>
        <v>#DIV/0!</v>
      </c>
      <c r="N61" s="52" t="e">
        <f>N52*N44*Supuestos!T$14</f>
        <v>#DIV/0!</v>
      </c>
      <c r="O61" s="52" t="e">
        <f>O52*O44*Supuestos!U$14</f>
        <v>#DIV/0!</v>
      </c>
      <c r="P61" s="52"/>
      <c r="Q61" s="52"/>
      <c r="R61" s="52"/>
    </row>
    <row r="62" spans="1:18" s="37" customFormat="1">
      <c r="B62" s="51">
        <v>5</v>
      </c>
      <c r="C62" s="52"/>
      <c r="D62" s="52">
        <f t="shared" ref="D62:I62" si="58">D52*D44*I$3</f>
        <v>0</v>
      </c>
      <c r="E62" s="52" t="e">
        <f t="shared" si="58"/>
        <v>#DIV/0!</v>
      </c>
      <c r="F62" s="52" t="e">
        <f t="shared" si="58"/>
        <v>#DIV/0!</v>
      </c>
      <c r="G62" s="52" t="e">
        <f t="shared" si="58"/>
        <v>#DIV/0!</v>
      </c>
      <c r="H62" s="52" t="e">
        <f t="shared" si="58"/>
        <v>#DIV/0!</v>
      </c>
      <c r="I62" s="52" t="e">
        <f t="shared" si="58"/>
        <v>#DIV/0!</v>
      </c>
      <c r="J62" s="52" t="e">
        <f>J52*J44*Supuestos!Q$14</f>
        <v>#DIV/0!</v>
      </c>
      <c r="K62" s="52" t="e">
        <f>K52*K44*Supuestos!R$14</f>
        <v>#DIV/0!</v>
      </c>
      <c r="L62" s="52" t="e">
        <f>L52*L44*Supuestos!S$14</f>
        <v>#DIV/0!</v>
      </c>
      <c r="M62" s="52" t="e">
        <f>M52*M44*Supuestos!T$14</f>
        <v>#DIV/0!</v>
      </c>
      <c r="N62" s="52" t="e">
        <f>N52*N44*Supuestos!U$14</f>
        <v>#DIV/0!</v>
      </c>
      <c r="O62" s="52" t="e">
        <f>O52*O44*Supuestos!V$14</f>
        <v>#DIV/0!</v>
      </c>
      <c r="P62" s="52"/>
      <c r="Q62" s="52"/>
      <c r="R62" s="52"/>
    </row>
    <row r="63" spans="1:18" s="37" customFormat="1">
      <c r="B63" s="51">
        <v>6</v>
      </c>
      <c r="C63" s="52"/>
      <c r="D63" s="52">
        <f>D52*D44*J$3</f>
        <v>0</v>
      </c>
      <c r="E63" s="52" t="e">
        <f>E52*E44*K$3</f>
        <v>#DIV/0!</v>
      </c>
      <c r="F63" s="52" t="e">
        <f>F52*F44*L$3</f>
        <v>#DIV/0!</v>
      </c>
      <c r="G63" s="52" t="e">
        <f>G52*G44*M$3</f>
        <v>#DIV/0!</v>
      </c>
      <c r="H63" s="52" t="e">
        <f>H52*H44*N$3</f>
        <v>#DIV/0!</v>
      </c>
      <c r="I63" s="52" t="e">
        <f>I52*I44*Supuestos!Q$14</f>
        <v>#DIV/0!</v>
      </c>
      <c r="J63" s="52" t="e">
        <f>J52*J44*Supuestos!R$14</f>
        <v>#DIV/0!</v>
      </c>
      <c r="K63" s="52" t="e">
        <f>K52*K44*Supuestos!S$14</f>
        <v>#DIV/0!</v>
      </c>
      <c r="L63" s="52" t="e">
        <f>L52*L44*Supuestos!T$14</f>
        <v>#DIV/0!</v>
      </c>
      <c r="M63" s="52" t="e">
        <f>M52*M44*Supuestos!U$14</f>
        <v>#DIV/0!</v>
      </c>
      <c r="N63" s="52" t="e">
        <f>N52*N44*Supuestos!V$14</f>
        <v>#DIV/0!</v>
      </c>
      <c r="O63" s="52" t="e">
        <f>O52*O44*Supuestos!W$14</f>
        <v>#DIV/0!</v>
      </c>
      <c r="P63" s="52"/>
      <c r="Q63" s="52"/>
      <c r="R63" s="52"/>
    </row>
    <row r="64" spans="1:18" s="37" customFormat="1">
      <c r="B64" s="51">
        <v>7</v>
      </c>
      <c r="C64" s="52"/>
      <c r="D64" s="52">
        <f>D52*D44*K$3</f>
        <v>0</v>
      </c>
      <c r="E64" s="52" t="e">
        <f>E52*E44*L$3</f>
        <v>#DIV/0!</v>
      </c>
      <c r="F64" s="52" t="e">
        <f>F52*F44*M$3</f>
        <v>#DIV/0!</v>
      </c>
      <c r="G64" s="52" t="e">
        <f>G52*G44*N$3</f>
        <v>#DIV/0!</v>
      </c>
      <c r="H64" s="52" t="e">
        <f>H52*H44*Supuestos!Q$14</f>
        <v>#DIV/0!</v>
      </c>
      <c r="I64" s="52" t="e">
        <f>I52*I44*Supuestos!R$14</f>
        <v>#DIV/0!</v>
      </c>
      <c r="J64" s="52" t="e">
        <f>J52*J44*Supuestos!S$14</f>
        <v>#DIV/0!</v>
      </c>
      <c r="K64" s="52" t="e">
        <f>K52*K44*Supuestos!T$14</f>
        <v>#DIV/0!</v>
      </c>
      <c r="L64" s="52" t="e">
        <f>L52*L44*Supuestos!U$14</f>
        <v>#DIV/0!</v>
      </c>
      <c r="M64" s="52" t="e">
        <f>M52*M44*Supuestos!V$14</f>
        <v>#DIV/0!</v>
      </c>
      <c r="N64" s="52" t="e">
        <f>N52*N44*Supuestos!W$14</f>
        <v>#DIV/0!</v>
      </c>
      <c r="O64" s="52" t="e">
        <f>O52*O44*Supuestos!X$14</f>
        <v>#DIV/0!</v>
      </c>
      <c r="P64" s="52"/>
      <c r="Q64" s="52"/>
      <c r="R64" s="52"/>
    </row>
    <row r="65" spans="2:18" s="37" customFormat="1">
      <c r="B65" s="51">
        <v>8</v>
      </c>
      <c r="C65" s="52"/>
      <c r="D65" s="52">
        <f>D52*D44*L$3</f>
        <v>0</v>
      </c>
      <c r="E65" s="52" t="e">
        <f>E52*E44*M$3</f>
        <v>#DIV/0!</v>
      </c>
      <c r="F65" s="52" t="e">
        <f>F52*F44*N$3</f>
        <v>#DIV/0!</v>
      </c>
      <c r="G65" s="73" t="e">
        <f>G52*G44*Supuestos!Q$14</f>
        <v>#DIV/0!</v>
      </c>
      <c r="H65" s="52" t="e">
        <f>H52*H44*Supuestos!R$14</f>
        <v>#DIV/0!</v>
      </c>
      <c r="I65" s="52" t="e">
        <f>I52*I44*Supuestos!S$14</f>
        <v>#DIV/0!</v>
      </c>
      <c r="J65" s="52" t="e">
        <f>J52*J44*Supuestos!T$14</f>
        <v>#DIV/0!</v>
      </c>
      <c r="K65" s="52" t="e">
        <f>K52*K44*Supuestos!U$14</f>
        <v>#DIV/0!</v>
      </c>
      <c r="L65" s="52" t="e">
        <f>L52*L44*Supuestos!V$14</f>
        <v>#DIV/0!</v>
      </c>
      <c r="M65" s="52" t="e">
        <f>M52*M44*Supuestos!W$14</f>
        <v>#DIV/0!</v>
      </c>
      <c r="N65" s="52" t="e">
        <f>N52*N44*Supuestos!X$14</f>
        <v>#DIV/0!</v>
      </c>
      <c r="O65" s="52" t="e">
        <f>O52*O44*Supuestos!Y$14</f>
        <v>#DIV/0!</v>
      </c>
      <c r="P65" s="52"/>
      <c r="Q65" s="52"/>
      <c r="R65" s="52"/>
    </row>
    <row r="66" spans="2:18" s="37" customFormat="1">
      <c r="B66" s="51">
        <v>9</v>
      </c>
      <c r="C66" s="52"/>
      <c r="D66" s="52">
        <f>D52*D44*M$3</f>
        <v>0</v>
      </c>
      <c r="E66" s="52" t="e">
        <f>E52*E44*N$3</f>
        <v>#DIV/0!</v>
      </c>
      <c r="F66" s="52" t="e">
        <f>F52*F44*O$3</f>
        <v>#DIV/0!</v>
      </c>
      <c r="G66" s="52" t="e">
        <f>G52*G44*Supuestos!R$14</f>
        <v>#DIV/0!</v>
      </c>
      <c r="H66" s="52" t="e">
        <f>H52*H44*Supuestos!S$14</f>
        <v>#DIV/0!</v>
      </c>
      <c r="I66" s="52" t="e">
        <f>I52*I44*Supuestos!T$14</f>
        <v>#DIV/0!</v>
      </c>
      <c r="J66" s="52" t="e">
        <f>J52*J44*Supuestos!U$14</f>
        <v>#DIV/0!</v>
      </c>
      <c r="K66" s="52" t="e">
        <f>K52*K44*Supuestos!V$14</f>
        <v>#DIV/0!</v>
      </c>
      <c r="L66" s="52" t="e">
        <f>L52*L44*Supuestos!W$14</f>
        <v>#DIV/0!</v>
      </c>
      <c r="M66" s="52" t="e">
        <f>M52*M44*Supuestos!X$14</f>
        <v>#DIV/0!</v>
      </c>
      <c r="N66" s="52" t="e">
        <f>N52*N44*Supuestos!Y$14</f>
        <v>#DIV/0!</v>
      </c>
      <c r="O66" s="52" t="e">
        <f>O52*O44*Supuestos!Z$14</f>
        <v>#DIV/0!</v>
      </c>
      <c r="P66" s="52"/>
      <c r="Q66" s="52"/>
      <c r="R66" s="52"/>
    </row>
    <row r="67" spans="2:18" s="37" customFormat="1">
      <c r="B67" s="51">
        <v>10</v>
      </c>
      <c r="C67" s="52"/>
      <c r="D67" s="52">
        <f>D52*D44*N$3</f>
        <v>0</v>
      </c>
      <c r="E67" s="52" t="e">
        <f>E52*E44*O$3</f>
        <v>#DIV/0!</v>
      </c>
      <c r="F67" s="52" t="e">
        <f>F52*F44*P$3</f>
        <v>#DIV/0!</v>
      </c>
      <c r="G67" s="52" t="e">
        <f>G52*G44*Supuestos!S$14</f>
        <v>#DIV/0!</v>
      </c>
      <c r="H67" s="52" t="e">
        <f>H52*H44*Supuestos!T$14</f>
        <v>#DIV/0!</v>
      </c>
      <c r="I67" s="52" t="e">
        <f>I52*I44*Supuestos!U$14</f>
        <v>#DIV/0!</v>
      </c>
      <c r="J67" s="52" t="e">
        <f>J52*J44*Supuestos!V$14</f>
        <v>#DIV/0!</v>
      </c>
      <c r="K67" s="52" t="e">
        <f>K52*K44*Supuestos!W$14</f>
        <v>#DIV/0!</v>
      </c>
      <c r="L67" s="52" t="e">
        <f>L52*L44*Supuestos!X$14</f>
        <v>#DIV/0!</v>
      </c>
      <c r="M67" s="52" t="e">
        <f>M52*M44*Supuestos!Y$14</f>
        <v>#DIV/0!</v>
      </c>
      <c r="N67" s="52" t="e">
        <f>N52*N44*Supuestos!Z$14</f>
        <v>#DIV/0!</v>
      </c>
      <c r="O67" s="52" t="e">
        <f>O52*O44*Supuestos!AA$14</f>
        <v>#DIV/0!</v>
      </c>
      <c r="P67" s="52"/>
      <c r="Q67" s="52"/>
      <c r="R67" s="52"/>
    </row>
    <row r="68" spans="2:18" s="37" customFormat="1">
      <c r="B68" s="51"/>
      <c r="P68" s="52"/>
      <c r="Q68" s="52"/>
      <c r="R68" s="52"/>
    </row>
    <row r="69" spans="2:18" s="37" customFormat="1" ht="16">
      <c r="B69" s="51" t="s">
        <v>113</v>
      </c>
      <c r="C69" s="52"/>
      <c r="D69" s="52">
        <f>C58</f>
        <v>0</v>
      </c>
      <c r="E69" s="52">
        <f>D58+C59</f>
        <v>0</v>
      </c>
      <c r="F69" s="52" t="e">
        <f>E58+D59+C60</f>
        <v>#DIV/0!</v>
      </c>
      <c r="G69" s="52" t="e">
        <f>F58+E59+D60+C61</f>
        <v>#DIV/0!</v>
      </c>
      <c r="H69" s="52" t="e">
        <f>G58+F59+E60+D61+C62</f>
        <v>#DIV/0!</v>
      </c>
      <c r="I69" s="52" t="e">
        <f>H58+G59+F60+E61+D62+C63</f>
        <v>#DIV/0!</v>
      </c>
      <c r="J69" s="52" t="e">
        <f>I58+H59+G60+F61+E62+D63+C64</f>
        <v>#DIV/0!</v>
      </c>
      <c r="K69" s="52" t="e">
        <f>J58+I59+H60+G61+F62+E63+D64+C65</f>
        <v>#DIV/0!</v>
      </c>
      <c r="L69" s="52" t="e">
        <f>K58+J59+I60+H61+G62+F63+E64+D65+C66</f>
        <v>#DIV/0!</v>
      </c>
      <c r="M69" s="52" t="e">
        <f>L58+K59+J60+I61+H62+G63+F64+E65+D66+C67</f>
        <v>#DIV/0!</v>
      </c>
      <c r="N69" s="52" t="e">
        <f>M58+L59+K60+J61+I62+H63+G64+F65+E66+D67</f>
        <v>#DIV/0!</v>
      </c>
      <c r="O69" s="52" t="e">
        <f>N58+M59+L60+K61+J62+I63+H64+G65+F66+E67</f>
        <v>#DIV/0!</v>
      </c>
      <c r="P69" s="52"/>
      <c r="Q69" s="52"/>
      <c r="R69" s="52"/>
    </row>
    <row r="70" spans="2:18" s="37" customFormat="1" ht="16">
      <c r="B70" s="51" t="s">
        <v>114</v>
      </c>
      <c r="C70" s="52"/>
      <c r="D70" s="52">
        <f t="shared" ref="D70:J70" si="59">D57</f>
        <v>0</v>
      </c>
      <c r="E70" s="52">
        <f t="shared" si="59"/>
        <v>0</v>
      </c>
      <c r="F70" s="52">
        <f t="shared" si="59"/>
        <v>0</v>
      </c>
      <c r="G70" s="52">
        <f t="shared" si="59"/>
        <v>0</v>
      </c>
      <c r="H70" s="52">
        <f t="shared" si="59"/>
        <v>0</v>
      </c>
      <c r="I70" s="52">
        <f t="shared" si="59"/>
        <v>0</v>
      </c>
      <c r="J70" s="52">
        <f t="shared" si="59"/>
        <v>0</v>
      </c>
      <c r="K70" s="52">
        <f>K57</f>
        <v>0</v>
      </c>
      <c r="L70" s="52">
        <f>L57</f>
        <v>0</v>
      </c>
      <c r="M70" s="52">
        <f>M57</f>
        <v>0</v>
      </c>
      <c r="N70" s="52">
        <f>N57</f>
        <v>0</v>
      </c>
      <c r="O70" s="52">
        <f>O57</f>
        <v>0</v>
      </c>
      <c r="P70" s="52"/>
      <c r="Q70" s="52"/>
      <c r="R70" s="52"/>
    </row>
    <row r="71" spans="2:18" s="37" customFormat="1">
      <c r="B71" s="51"/>
      <c r="C71" s="52"/>
      <c r="D71" s="52"/>
      <c r="E71" s="52"/>
      <c r="F71" s="52"/>
      <c r="G71" s="52"/>
      <c r="H71" s="52"/>
      <c r="I71" s="52"/>
      <c r="J71" s="52"/>
      <c r="K71" s="52"/>
      <c r="L71" s="52"/>
      <c r="M71" s="52"/>
      <c r="N71" s="52"/>
      <c r="O71" s="52"/>
      <c r="P71" s="52"/>
      <c r="Q71" s="52"/>
      <c r="R71" s="52"/>
    </row>
    <row r="72" spans="2:18" s="37" customFormat="1">
      <c r="B72" s="49">
        <v>20</v>
      </c>
      <c r="C72" s="50"/>
      <c r="D72" s="50">
        <v>2023</v>
      </c>
      <c r="E72" s="50">
        <v>2024</v>
      </c>
      <c r="F72" s="50">
        <v>2025</v>
      </c>
      <c r="G72" s="50">
        <v>2026</v>
      </c>
      <c r="H72" s="50">
        <v>2027</v>
      </c>
      <c r="I72" s="50">
        <v>2028</v>
      </c>
      <c r="J72" s="50">
        <v>2029</v>
      </c>
      <c r="K72" s="50">
        <v>2030</v>
      </c>
      <c r="L72" s="50">
        <v>2031</v>
      </c>
      <c r="M72" s="50">
        <v>2032</v>
      </c>
      <c r="N72" s="50">
        <v>2033</v>
      </c>
      <c r="O72" s="50">
        <v>2034</v>
      </c>
      <c r="P72" s="52"/>
      <c r="Q72" s="52"/>
      <c r="R72" s="52"/>
    </row>
    <row r="73" spans="2:18" s="37" customFormat="1" ht="16">
      <c r="B73" s="51" t="s">
        <v>105</v>
      </c>
      <c r="C73" s="54"/>
      <c r="D73" s="54">
        <f>Supuestos!F60</f>
        <v>0</v>
      </c>
      <c r="E73" s="54">
        <f>Supuestos!G60</f>
        <v>0</v>
      </c>
      <c r="F73" s="54">
        <f>Supuestos!H60</f>
        <v>0</v>
      </c>
      <c r="G73" s="54">
        <f>Supuestos!I60</f>
        <v>0</v>
      </c>
      <c r="H73" s="54">
        <f>Supuestos!J60</f>
        <v>0</v>
      </c>
      <c r="I73" s="54">
        <f>Supuestos!K60</f>
        <v>0</v>
      </c>
      <c r="J73" s="54">
        <f>Supuestos!L60</f>
        <v>0</v>
      </c>
      <c r="K73" s="54">
        <f>Supuestos!M60</f>
        <v>0</v>
      </c>
      <c r="L73" s="54">
        <f>Supuestos!N60</f>
        <v>0</v>
      </c>
      <c r="M73" s="54">
        <f>Supuestos!O60</f>
        <v>0</v>
      </c>
      <c r="N73" s="54">
        <f>Supuestos!P60</f>
        <v>0</v>
      </c>
      <c r="O73" s="54">
        <f>Supuestos!Q60</f>
        <v>0</v>
      </c>
      <c r="P73" s="52"/>
      <c r="Q73" s="52"/>
      <c r="R73" s="52"/>
    </row>
    <row r="74" spans="2:18" s="37" customFormat="1" ht="16">
      <c r="B74" s="51" t="s">
        <v>89</v>
      </c>
      <c r="C74" s="54"/>
      <c r="D74" s="54">
        <f>Supuestos!F61</f>
        <v>0</v>
      </c>
      <c r="E74" s="54">
        <f>Supuestos!G61</f>
        <v>0</v>
      </c>
      <c r="F74" s="54">
        <f>Supuestos!H61</f>
        <v>0</v>
      </c>
      <c r="G74" s="54">
        <f>Supuestos!I61</f>
        <v>0</v>
      </c>
      <c r="H74" s="54">
        <f>Supuestos!J61</f>
        <v>0</v>
      </c>
      <c r="I74" s="54">
        <f>Supuestos!K61</f>
        <v>0</v>
      </c>
      <c r="J74" s="54">
        <f>Supuestos!L61</f>
        <v>0</v>
      </c>
      <c r="K74" s="54">
        <f>Supuestos!M61</f>
        <v>0</v>
      </c>
      <c r="L74" s="54">
        <f>Supuestos!N61</f>
        <v>0</v>
      </c>
      <c r="M74" s="54">
        <f>Supuestos!O61</f>
        <v>0</v>
      </c>
      <c r="N74" s="54">
        <f>Supuestos!P61</f>
        <v>0</v>
      </c>
      <c r="O74" s="54">
        <f>Supuestos!Q61</f>
        <v>0</v>
      </c>
      <c r="P74" s="52"/>
      <c r="Q74" s="52"/>
      <c r="R74" s="52"/>
    </row>
    <row r="75" spans="2:18" s="37" customFormat="1" ht="16">
      <c r="B75" s="51" t="s">
        <v>90</v>
      </c>
      <c r="C75" s="55"/>
      <c r="D75" s="55">
        <f>Supuestos!F62</f>
        <v>20</v>
      </c>
      <c r="E75" s="55">
        <f>Supuestos!G62</f>
        <v>20</v>
      </c>
      <c r="F75" s="55">
        <f>Supuestos!H62</f>
        <v>20</v>
      </c>
      <c r="G75" s="55">
        <f>Supuestos!I62</f>
        <v>20</v>
      </c>
      <c r="H75" s="55">
        <f>Supuestos!J62</f>
        <v>20</v>
      </c>
      <c r="I75" s="55">
        <f>Supuestos!K62</f>
        <v>20</v>
      </c>
      <c r="J75" s="55">
        <f>Supuestos!L62</f>
        <v>20</v>
      </c>
      <c r="K75" s="55">
        <f>Supuestos!M62</f>
        <v>20</v>
      </c>
      <c r="L75" s="55">
        <f>Supuestos!N62</f>
        <v>20</v>
      </c>
      <c r="M75" s="55">
        <f>Supuestos!O62</f>
        <v>20</v>
      </c>
      <c r="N75" s="55">
        <f>Supuestos!P62</f>
        <v>20</v>
      </c>
      <c r="O75" s="55">
        <f>Supuestos!Q62</f>
        <v>20</v>
      </c>
      <c r="P75" s="52"/>
      <c r="Q75" s="52"/>
      <c r="R75" s="52"/>
    </row>
    <row r="76" spans="2:18" s="37" customFormat="1" ht="16">
      <c r="B76" s="51" t="s">
        <v>79</v>
      </c>
      <c r="C76" s="56"/>
      <c r="D76" s="56">
        <f t="shared" ref="D76:N76" si="60">D72+D75</f>
        <v>2043</v>
      </c>
      <c r="E76" s="56">
        <f t="shared" si="60"/>
        <v>2044</v>
      </c>
      <c r="F76" s="56">
        <f t="shared" si="60"/>
        <v>2045</v>
      </c>
      <c r="G76" s="56">
        <f t="shared" si="60"/>
        <v>2046</v>
      </c>
      <c r="H76" s="56">
        <f t="shared" si="60"/>
        <v>2047</v>
      </c>
      <c r="I76" s="56">
        <f t="shared" si="60"/>
        <v>2048</v>
      </c>
      <c r="J76" s="56">
        <f t="shared" si="60"/>
        <v>2049</v>
      </c>
      <c r="K76" s="56">
        <f t="shared" si="60"/>
        <v>2050</v>
      </c>
      <c r="L76" s="56">
        <f t="shared" si="60"/>
        <v>2051</v>
      </c>
      <c r="M76" s="56">
        <f t="shared" si="60"/>
        <v>2052</v>
      </c>
      <c r="N76" s="56">
        <f t="shared" si="60"/>
        <v>2053</v>
      </c>
      <c r="O76" s="56">
        <f t="shared" ref="O76" si="61">O72+O75</f>
        <v>2054</v>
      </c>
      <c r="P76" s="56"/>
      <c r="Q76" s="56"/>
      <c r="R76" s="56"/>
    </row>
    <row r="77" spans="2:18" s="37" customFormat="1" ht="16">
      <c r="B77" s="51" t="s">
        <v>107</v>
      </c>
      <c r="C77" s="54"/>
      <c r="D77" s="54">
        <f>Supuestos!F49</f>
        <v>0</v>
      </c>
      <c r="E77" s="54">
        <f>Supuestos!G49</f>
        <v>0</v>
      </c>
      <c r="F77" s="54">
        <f>Supuestos!H49</f>
        <v>0</v>
      </c>
      <c r="G77" s="54">
        <f>Supuestos!I49</f>
        <v>0</v>
      </c>
      <c r="H77" s="54">
        <f>Supuestos!J49</f>
        <v>0</v>
      </c>
      <c r="I77" s="54">
        <f>Supuestos!K49</f>
        <v>0</v>
      </c>
      <c r="J77" s="54">
        <f>Supuestos!L49</f>
        <v>0</v>
      </c>
      <c r="K77" s="54">
        <f>Supuestos!M49</f>
        <v>0</v>
      </c>
      <c r="L77" s="54">
        <f>Supuestos!N49</f>
        <v>0</v>
      </c>
      <c r="M77" s="54">
        <f>Supuestos!O49</f>
        <v>0</v>
      </c>
      <c r="N77" s="54">
        <f>Supuestos!P49</f>
        <v>0</v>
      </c>
      <c r="O77" s="54">
        <f>Supuestos!Q49</f>
        <v>0</v>
      </c>
      <c r="P77" s="52"/>
      <c r="Q77" s="52"/>
      <c r="R77" s="52"/>
    </row>
    <row r="78" spans="2:18" s="37" customFormat="1" ht="16">
      <c r="B78" s="51" t="s">
        <v>302</v>
      </c>
      <c r="C78" s="52"/>
      <c r="D78" s="52">
        <f t="shared" ref="D78:O78" si="62">D$5*D77</f>
        <v>0</v>
      </c>
      <c r="E78" s="52" t="e">
        <f t="shared" si="62"/>
        <v>#DIV/0!</v>
      </c>
      <c r="F78" s="52" t="e">
        <f t="shared" si="62"/>
        <v>#DIV/0!</v>
      </c>
      <c r="G78" s="52" t="e">
        <f t="shared" si="62"/>
        <v>#DIV/0!</v>
      </c>
      <c r="H78" s="52" t="e">
        <f t="shared" si="62"/>
        <v>#DIV/0!</v>
      </c>
      <c r="I78" s="52" t="e">
        <f t="shared" si="62"/>
        <v>#DIV/0!</v>
      </c>
      <c r="J78" s="52" t="e">
        <f t="shared" si="62"/>
        <v>#DIV/0!</v>
      </c>
      <c r="K78" s="52" t="e">
        <f t="shared" si="62"/>
        <v>#DIV/0!</v>
      </c>
      <c r="L78" s="52" t="e">
        <f t="shared" si="62"/>
        <v>#DIV/0!</v>
      </c>
      <c r="M78" s="52" t="e">
        <f t="shared" si="62"/>
        <v>#DIV/0!</v>
      </c>
      <c r="N78" s="52" t="e">
        <f t="shared" si="62"/>
        <v>#DIV/0!</v>
      </c>
      <c r="O78" s="52" t="e">
        <f t="shared" si="62"/>
        <v>#DIV/0!</v>
      </c>
      <c r="P78" s="52"/>
      <c r="Q78" s="52"/>
      <c r="R78" s="52"/>
    </row>
    <row r="79" spans="2:18" s="37" customFormat="1" ht="16">
      <c r="B79" s="51" t="s">
        <v>173</v>
      </c>
      <c r="C79" s="52"/>
      <c r="D79" s="52">
        <f t="shared" ref="D79:N79" si="63">D$6*D77</f>
        <v>0</v>
      </c>
      <c r="E79" s="52">
        <f t="shared" si="63"/>
        <v>0</v>
      </c>
      <c r="F79" s="52">
        <f t="shared" si="63"/>
        <v>0</v>
      </c>
      <c r="G79" s="52">
        <f t="shared" si="63"/>
        <v>0</v>
      </c>
      <c r="H79" s="52">
        <f t="shared" si="63"/>
        <v>0</v>
      </c>
      <c r="I79" s="52">
        <f t="shared" si="63"/>
        <v>0</v>
      </c>
      <c r="J79" s="52">
        <f t="shared" si="63"/>
        <v>0</v>
      </c>
      <c r="K79" s="52">
        <f t="shared" si="63"/>
        <v>0</v>
      </c>
      <c r="L79" s="52">
        <f t="shared" si="63"/>
        <v>0</v>
      </c>
      <c r="M79" s="52">
        <f t="shared" si="63"/>
        <v>0</v>
      </c>
      <c r="N79" s="52">
        <f t="shared" si="63"/>
        <v>0</v>
      </c>
      <c r="O79" s="52">
        <f t="shared" ref="O79" si="64">O$6*O77</f>
        <v>0</v>
      </c>
      <c r="P79" s="52"/>
      <c r="Q79" s="52"/>
      <c r="R79" s="52"/>
    </row>
    <row r="80" spans="2:18" s="35" customFormat="1" ht="16">
      <c r="B80" s="58" t="s">
        <v>116</v>
      </c>
      <c r="C80" s="60"/>
      <c r="D80" s="60">
        <f t="shared" ref="D80:N80" si="65">SUM(D78:D79)</f>
        <v>0</v>
      </c>
      <c r="E80" s="60" t="e">
        <f t="shared" si="65"/>
        <v>#DIV/0!</v>
      </c>
      <c r="F80" s="60" t="e">
        <f t="shared" si="65"/>
        <v>#DIV/0!</v>
      </c>
      <c r="G80" s="60" t="e">
        <f t="shared" si="65"/>
        <v>#DIV/0!</v>
      </c>
      <c r="H80" s="60" t="e">
        <f t="shared" si="65"/>
        <v>#DIV/0!</v>
      </c>
      <c r="I80" s="60" t="e">
        <f t="shared" si="65"/>
        <v>#DIV/0!</v>
      </c>
      <c r="J80" s="60" t="e">
        <f t="shared" si="65"/>
        <v>#DIV/0!</v>
      </c>
      <c r="K80" s="60" t="e">
        <f t="shared" si="65"/>
        <v>#DIV/0!</v>
      </c>
      <c r="L80" s="60" t="e">
        <f t="shared" si="65"/>
        <v>#DIV/0!</v>
      </c>
      <c r="M80" s="60" t="e">
        <f t="shared" si="65"/>
        <v>#DIV/0!</v>
      </c>
      <c r="N80" s="60" t="e">
        <f t="shared" si="65"/>
        <v>#DIV/0!</v>
      </c>
      <c r="O80" s="60" t="e">
        <f t="shared" ref="O80" si="66">SUM(O78:O79)</f>
        <v>#DIV/0!</v>
      </c>
      <c r="P80" s="60"/>
      <c r="Q80" s="60"/>
      <c r="R80" s="60"/>
    </row>
    <row r="81" spans="1:18" s="401" customFormat="1" ht="16">
      <c r="A81" s="403"/>
      <c r="B81" s="400" t="s">
        <v>119</v>
      </c>
      <c r="C81" s="402"/>
      <c r="D81" s="402">
        <f t="shared" ref="D81:O81" si="67">(D80/D$3)</f>
        <v>0</v>
      </c>
      <c r="E81" s="402" t="e">
        <f t="shared" si="67"/>
        <v>#DIV/0!</v>
      </c>
      <c r="F81" s="402" t="e">
        <f t="shared" si="67"/>
        <v>#DIV/0!</v>
      </c>
      <c r="G81" s="402" t="e">
        <f t="shared" si="67"/>
        <v>#DIV/0!</v>
      </c>
      <c r="H81" s="402" t="e">
        <f t="shared" si="67"/>
        <v>#DIV/0!</v>
      </c>
      <c r="I81" s="402" t="e">
        <f t="shared" si="67"/>
        <v>#DIV/0!</v>
      </c>
      <c r="J81" s="402" t="e">
        <f t="shared" si="67"/>
        <v>#DIV/0!</v>
      </c>
      <c r="K81" s="402" t="e">
        <f t="shared" si="67"/>
        <v>#DIV/0!</v>
      </c>
      <c r="L81" s="402" t="e">
        <f t="shared" si="67"/>
        <v>#DIV/0!</v>
      </c>
      <c r="M81" s="402" t="e">
        <f t="shared" si="67"/>
        <v>#DIV/0!</v>
      </c>
      <c r="N81" s="402" t="e">
        <f t="shared" si="67"/>
        <v>#DIV/0!</v>
      </c>
      <c r="O81" s="402" t="e">
        <f t="shared" si="67"/>
        <v>#DIV/0!</v>
      </c>
      <c r="P81" s="402"/>
      <c r="Q81" s="402"/>
      <c r="R81" s="402"/>
    </row>
    <row r="82" spans="1:18" s="37" customFormat="1" ht="16">
      <c r="B82" s="51" t="s">
        <v>118</v>
      </c>
      <c r="C82" s="52"/>
      <c r="D82" s="52">
        <f t="shared" ref="D82:O82" si="68">D81*HLOOKUP((D72+D75),$D2:$AT3,2,FALSE)</f>
        <v>0</v>
      </c>
      <c r="E82" s="52" t="e">
        <f t="shared" si="68"/>
        <v>#DIV/0!</v>
      </c>
      <c r="F82" s="52" t="e">
        <f t="shared" si="68"/>
        <v>#DIV/0!</v>
      </c>
      <c r="G82" s="52" t="e">
        <f t="shared" si="68"/>
        <v>#DIV/0!</v>
      </c>
      <c r="H82" s="52" t="e">
        <f t="shared" si="68"/>
        <v>#DIV/0!</v>
      </c>
      <c r="I82" s="52" t="e">
        <f t="shared" si="68"/>
        <v>#DIV/0!</v>
      </c>
      <c r="J82" s="52" t="e">
        <f t="shared" si="68"/>
        <v>#DIV/0!</v>
      </c>
      <c r="K82" s="52" t="e">
        <f t="shared" si="68"/>
        <v>#DIV/0!</v>
      </c>
      <c r="L82" s="52" t="e">
        <f t="shared" si="68"/>
        <v>#DIV/0!</v>
      </c>
      <c r="M82" s="52" t="e">
        <f t="shared" si="68"/>
        <v>#DIV/0!</v>
      </c>
      <c r="N82" s="52" t="e">
        <f t="shared" si="68"/>
        <v>#DIV/0!</v>
      </c>
      <c r="O82" s="52" t="e">
        <f t="shared" si="68"/>
        <v>#DIV/0!</v>
      </c>
      <c r="P82" s="52"/>
      <c r="Q82" s="52"/>
      <c r="R82" s="52"/>
    </row>
    <row r="83" spans="1:18" s="37" customFormat="1">
      <c r="B83" s="51"/>
      <c r="C83" s="52"/>
      <c r="D83" s="52"/>
      <c r="E83" s="52"/>
      <c r="F83" s="52"/>
      <c r="G83" s="52"/>
      <c r="H83" s="52"/>
      <c r="I83" s="52"/>
      <c r="J83" s="52"/>
      <c r="K83" s="52"/>
      <c r="L83" s="52"/>
      <c r="M83" s="52"/>
      <c r="N83" s="52"/>
      <c r="O83" s="52"/>
      <c r="P83" s="52"/>
      <c r="Q83" s="52"/>
      <c r="R83" s="52"/>
    </row>
    <row r="84" spans="1:18" s="37" customFormat="1" ht="16">
      <c r="B84" s="51" t="s">
        <v>112</v>
      </c>
      <c r="C84" s="52"/>
      <c r="D84" s="52">
        <f>NPV(D74+3%,D86:D105,(D106+D82))-D80</f>
        <v>0</v>
      </c>
      <c r="E84" s="52" t="e">
        <f t="shared" ref="E84:N84" si="69">NPV(E74+3%,E86:E105,(E106+E82))-E80</f>
        <v>#DIV/0!</v>
      </c>
      <c r="F84" s="52" t="e">
        <f t="shared" si="69"/>
        <v>#DIV/0!</v>
      </c>
      <c r="G84" s="52" t="e">
        <f t="shared" si="69"/>
        <v>#DIV/0!</v>
      </c>
      <c r="H84" s="52" t="e">
        <f t="shared" si="69"/>
        <v>#DIV/0!</v>
      </c>
      <c r="I84" s="52" t="e">
        <f t="shared" si="69"/>
        <v>#DIV/0!</v>
      </c>
      <c r="J84" s="52" t="e">
        <f t="shared" si="69"/>
        <v>#DIV/0!</v>
      </c>
      <c r="K84" s="52" t="e">
        <f t="shared" si="69"/>
        <v>#DIV/0!</v>
      </c>
      <c r="L84" s="52" t="e">
        <f t="shared" si="69"/>
        <v>#DIV/0!</v>
      </c>
      <c r="M84" s="52" t="e">
        <f t="shared" si="69"/>
        <v>#DIV/0!</v>
      </c>
      <c r="N84" s="52" t="e">
        <f t="shared" si="69"/>
        <v>#DIV/0!</v>
      </c>
      <c r="O84" s="52" t="e">
        <f t="shared" ref="O84" si="70">NPV(O74+3%,O86:O105,(O106+O82))-O80</f>
        <v>#DIV/0!</v>
      </c>
      <c r="P84" s="52"/>
      <c r="Q84" s="52"/>
      <c r="R84" s="52"/>
    </row>
    <row r="85" spans="1:18" s="37" customFormat="1">
      <c r="B85" s="51"/>
      <c r="P85" s="52"/>
      <c r="Q85" s="52"/>
      <c r="R85" s="52"/>
    </row>
    <row r="86" spans="1:18" s="37" customFormat="1">
      <c r="B86" s="51">
        <v>0</v>
      </c>
      <c r="C86" s="52"/>
      <c r="D86" s="52"/>
      <c r="E86" s="52"/>
      <c r="F86" s="52"/>
      <c r="G86" s="52"/>
      <c r="H86" s="52"/>
      <c r="I86" s="52"/>
      <c r="J86" s="52"/>
      <c r="K86" s="52"/>
      <c r="L86" s="52"/>
      <c r="M86" s="52"/>
      <c r="N86" s="52"/>
      <c r="O86" s="52"/>
      <c r="P86" s="52"/>
      <c r="Q86" s="52"/>
      <c r="R86" s="52"/>
    </row>
    <row r="87" spans="1:18" s="37" customFormat="1">
      <c r="B87" s="51">
        <v>1</v>
      </c>
      <c r="C87" s="52"/>
      <c r="D87" s="52">
        <f t="shared" ref="D87:M87" si="71">D81*D73*E$3</f>
        <v>0</v>
      </c>
      <c r="E87" s="52" t="e">
        <f t="shared" si="71"/>
        <v>#DIV/0!</v>
      </c>
      <c r="F87" s="52" t="e">
        <f t="shared" si="71"/>
        <v>#DIV/0!</v>
      </c>
      <c r="G87" s="52" t="e">
        <f t="shared" si="71"/>
        <v>#DIV/0!</v>
      </c>
      <c r="H87" s="52" t="e">
        <f t="shared" si="71"/>
        <v>#DIV/0!</v>
      </c>
      <c r="I87" s="52" t="e">
        <f t="shared" si="71"/>
        <v>#DIV/0!</v>
      </c>
      <c r="J87" s="52" t="e">
        <f t="shared" si="71"/>
        <v>#DIV/0!</v>
      </c>
      <c r="K87" s="52" t="e">
        <f t="shared" si="71"/>
        <v>#DIV/0!</v>
      </c>
      <c r="L87" s="52" t="e">
        <f t="shared" si="71"/>
        <v>#DIV/0!</v>
      </c>
      <c r="M87" s="52" t="e">
        <f t="shared" si="71"/>
        <v>#DIV/0!</v>
      </c>
      <c r="N87" s="52" t="e">
        <f>N81*N73*Supuestos!Q$14</f>
        <v>#DIV/0!</v>
      </c>
      <c r="O87" s="52" t="e">
        <f>O81*O73*Supuestos!R$14</f>
        <v>#DIV/0!</v>
      </c>
      <c r="P87" s="52"/>
      <c r="Q87" s="52"/>
      <c r="R87" s="52"/>
    </row>
    <row r="88" spans="1:18" s="37" customFormat="1">
      <c r="B88" s="51">
        <v>2</v>
      </c>
      <c r="C88" s="52"/>
      <c r="D88" s="52">
        <f t="shared" ref="D88:L88" si="72">D81*D73*F$3</f>
        <v>0</v>
      </c>
      <c r="E88" s="52" t="e">
        <f t="shared" si="72"/>
        <v>#DIV/0!</v>
      </c>
      <c r="F88" s="52" t="e">
        <f t="shared" si="72"/>
        <v>#DIV/0!</v>
      </c>
      <c r="G88" s="52" t="e">
        <f t="shared" si="72"/>
        <v>#DIV/0!</v>
      </c>
      <c r="H88" s="52" t="e">
        <f t="shared" si="72"/>
        <v>#DIV/0!</v>
      </c>
      <c r="I88" s="52" t="e">
        <f t="shared" si="72"/>
        <v>#DIV/0!</v>
      </c>
      <c r="J88" s="52" t="e">
        <f t="shared" si="72"/>
        <v>#DIV/0!</v>
      </c>
      <c r="K88" s="52" t="e">
        <f t="shared" si="72"/>
        <v>#DIV/0!</v>
      </c>
      <c r="L88" s="52" t="e">
        <f t="shared" si="72"/>
        <v>#DIV/0!</v>
      </c>
      <c r="M88" s="52" t="e">
        <f>M81*M73*Supuestos!Q$14</f>
        <v>#DIV/0!</v>
      </c>
      <c r="N88" s="52" t="e">
        <f>N81*N73*Supuestos!R$14</f>
        <v>#DIV/0!</v>
      </c>
      <c r="O88" s="52" t="e">
        <f>O81*O73*Supuestos!S$14</f>
        <v>#DIV/0!</v>
      </c>
      <c r="P88" s="52"/>
      <c r="Q88" s="52"/>
      <c r="R88" s="52"/>
    </row>
    <row r="89" spans="1:18" s="37" customFormat="1">
      <c r="B89" s="51">
        <v>3</v>
      </c>
      <c r="C89" s="52"/>
      <c r="D89" s="52">
        <f t="shared" ref="D89:K89" si="73">D81*D73*G$3</f>
        <v>0</v>
      </c>
      <c r="E89" s="52" t="e">
        <f t="shared" si="73"/>
        <v>#DIV/0!</v>
      </c>
      <c r="F89" s="52" t="e">
        <f t="shared" si="73"/>
        <v>#DIV/0!</v>
      </c>
      <c r="G89" s="52" t="e">
        <f t="shared" si="73"/>
        <v>#DIV/0!</v>
      </c>
      <c r="H89" s="52" t="e">
        <f t="shared" si="73"/>
        <v>#DIV/0!</v>
      </c>
      <c r="I89" s="52" t="e">
        <f t="shared" si="73"/>
        <v>#DIV/0!</v>
      </c>
      <c r="J89" s="52" t="e">
        <f t="shared" si="73"/>
        <v>#DIV/0!</v>
      </c>
      <c r="K89" s="52" t="e">
        <f t="shared" si="73"/>
        <v>#DIV/0!</v>
      </c>
      <c r="L89" s="52" t="e">
        <f>L81*L73*Supuestos!Q$14</f>
        <v>#DIV/0!</v>
      </c>
      <c r="M89" s="52" t="e">
        <f>M81*M73*Supuestos!R$14</f>
        <v>#DIV/0!</v>
      </c>
      <c r="N89" s="52" t="e">
        <f>N81*N73*Supuestos!S$14</f>
        <v>#DIV/0!</v>
      </c>
      <c r="O89" s="52" t="e">
        <f>O81*O73*Supuestos!T$14</f>
        <v>#DIV/0!</v>
      </c>
      <c r="P89" s="52"/>
      <c r="Q89" s="52"/>
      <c r="R89" s="52"/>
    </row>
    <row r="90" spans="1:18" s="37" customFormat="1">
      <c r="B90" s="51">
        <v>4</v>
      </c>
      <c r="C90" s="52"/>
      <c r="D90" s="52">
        <f t="shared" ref="D90:J90" si="74">D81*D73*H$3</f>
        <v>0</v>
      </c>
      <c r="E90" s="52" t="e">
        <f t="shared" si="74"/>
        <v>#DIV/0!</v>
      </c>
      <c r="F90" s="52" t="e">
        <f t="shared" si="74"/>
        <v>#DIV/0!</v>
      </c>
      <c r="G90" s="52" t="e">
        <f t="shared" si="74"/>
        <v>#DIV/0!</v>
      </c>
      <c r="H90" s="52" t="e">
        <f t="shared" si="74"/>
        <v>#DIV/0!</v>
      </c>
      <c r="I90" s="52" t="e">
        <f t="shared" si="74"/>
        <v>#DIV/0!</v>
      </c>
      <c r="J90" s="52" t="e">
        <f t="shared" si="74"/>
        <v>#DIV/0!</v>
      </c>
      <c r="K90" s="52" t="e">
        <f>K81*K73*Supuestos!Q$14</f>
        <v>#DIV/0!</v>
      </c>
      <c r="L90" s="52" t="e">
        <f>L81*L73*Supuestos!R$14</f>
        <v>#DIV/0!</v>
      </c>
      <c r="M90" s="52" t="e">
        <f>M81*M73*Supuestos!S$14</f>
        <v>#DIV/0!</v>
      </c>
      <c r="N90" s="52" t="e">
        <f>N81*N73*Supuestos!T$14</f>
        <v>#DIV/0!</v>
      </c>
      <c r="O90" s="52" t="e">
        <f>O81*O73*Supuestos!U$14</f>
        <v>#DIV/0!</v>
      </c>
      <c r="P90" s="52"/>
      <c r="Q90" s="52"/>
      <c r="R90" s="52"/>
    </row>
    <row r="91" spans="1:18" s="37" customFormat="1">
      <c r="B91" s="51">
        <v>5</v>
      </c>
      <c r="C91" s="52"/>
      <c r="D91" s="52">
        <f t="shared" ref="D91:I91" si="75">D81*D73*I$3</f>
        <v>0</v>
      </c>
      <c r="E91" s="52" t="e">
        <f t="shared" si="75"/>
        <v>#DIV/0!</v>
      </c>
      <c r="F91" s="52" t="e">
        <f t="shared" si="75"/>
        <v>#DIV/0!</v>
      </c>
      <c r="G91" s="52" t="e">
        <f t="shared" si="75"/>
        <v>#DIV/0!</v>
      </c>
      <c r="H91" s="52" t="e">
        <f t="shared" si="75"/>
        <v>#DIV/0!</v>
      </c>
      <c r="I91" s="52" t="e">
        <f t="shared" si="75"/>
        <v>#DIV/0!</v>
      </c>
      <c r="J91" s="52" t="e">
        <f>J81*J73*Supuestos!Q$14</f>
        <v>#DIV/0!</v>
      </c>
      <c r="K91" s="52" t="e">
        <f>K81*K73*Supuestos!R$14</f>
        <v>#DIV/0!</v>
      </c>
      <c r="L91" s="52" t="e">
        <f>L81*L73*Supuestos!S$14</f>
        <v>#DIV/0!</v>
      </c>
      <c r="M91" s="52" t="e">
        <f>M81*M73*Supuestos!T$14</f>
        <v>#DIV/0!</v>
      </c>
      <c r="N91" s="52" t="e">
        <f>N81*N73*Supuestos!U$14</f>
        <v>#DIV/0!</v>
      </c>
      <c r="O91" s="52" t="e">
        <f>O81*O73*Supuestos!V$14</f>
        <v>#DIV/0!</v>
      </c>
      <c r="P91" s="52"/>
      <c r="Q91" s="52"/>
      <c r="R91" s="52"/>
    </row>
    <row r="92" spans="1:18" s="37" customFormat="1">
      <c r="B92" s="51">
        <v>6</v>
      </c>
      <c r="C92" s="52"/>
      <c r="D92" s="52">
        <f>D81*D73*J$3</f>
        <v>0</v>
      </c>
      <c r="E92" s="52" t="e">
        <f>E81*E73*K$3</f>
        <v>#DIV/0!</v>
      </c>
      <c r="F92" s="52" t="e">
        <f>F81*F73*L$3</f>
        <v>#DIV/0!</v>
      </c>
      <c r="G92" s="52" t="e">
        <f>G81*G73*M$3</f>
        <v>#DIV/0!</v>
      </c>
      <c r="H92" s="52" t="e">
        <f>H81*H73*N$3</f>
        <v>#DIV/0!</v>
      </c>
      <c r="I92" s="52" t="e">
        <f>I81*I73*Supuestos!Q$14</f>
        <v>#DIV/0!</v>
      </c>
      <c r="J92" s="52" t="e">
        <f>J81*J73*Supuestos!R$14</f>
        <v>#DIV/0!</v>
      </c>
      <c r="K92" s="52" t="e">
        <f>K81*K73*Supuestos!S$14</f>
        <v>#DIV/0!</v>
      </c>
      <c r="L92" s="52" t="e">
        <f>L81*L73*Supuestos!T$14</f>
        <v>#DIV/0!</v>
      </c>
      <c r="M92" s="52" t="e">
        <f>M81*M73*Supuestos!U$14</f>
        <v>#DIV/0!</v>
      </c>
      <c r="N92" s="52" t="e">
        <f>N81*N73*Supuestos!V$14</f>
        <v>#DIV/0!</v>
      </c>
      <c r="O92" s="52" t="e">
        <f>O81*O73*Supuestos!W$14</f>
        <v>#DIV/0!</v>
      </c>
      <c r="P92" s="52"/>
      <c r="Q92" s="52"/>
      <c r="R92" s="52"/>
    </row>
    <row r="93" spans="1:18" s="37" customFormat="1">
      <c r="B93" s="51">
        <v>7</v>
      </c>
      <c r="C93" s="52"/>
      <c r="D93" s="52">
        <f>D81*D73*K$3</f>
        <v>0</v>
      </c>
      <c r="E93" s="52" t="e">
        <f>E81*E73*L$3</f>
        <v>#DIV/0!</v>
      </c>
      <c r="F93" s="52" t="e">
        <f>F81*F73*M$3</f>
        <v>#DIV/0!</v>
      </c>
      <c r="G93" s="52" t="e">
        <f>G81*G73*N$3</f>
        <v>#DIV/0!</v>
      </c>
      <c r="H93" s="52" t="e">
        <f>H81*H73*Supuestos!Q$14</f>
        <v>#DIV/0!</v>
      </c>
      <c r="I93" s="52" t="e">
        <f>I81*I73*Supuestos!R$14</f>
        <v>#DIV/0!</v>
      </c>
      <c r="J93" s="52" t="e">
        <f>J81*J73*Supuestos!S$14</f>
        <v>#DIV/0!</v>
      </c>
      <c r="K93" s="52" t="e">
        <f>K81*K73*Supuestos!T$14</f>
        <v>#DIV/0!</v>
      </c>
      <c r="L93" s="52" t="e">
        <f>L81*L73*Supuestos!U$14</f>
        <v>#DIV/0!</v>
      </c>
      <c r="M93" s="52" t="e">
        <f>M81*M73*Supuestos!V$14</f>
        <v>#DIV/0!</v>
      </c>
      <c r="N93" s="52" t="e">
        <f>N81*N73*Supuestos!W$14</f>
        <v>#DIV/0!</v>
      </c>
      <c r="O93" s="52" t="e">
        <f>O81*O73*Supuestos!X$14</f>
        <v>#DIV/0!</v>
      </c>
      <c r="P93" s="52"/>
      <c r="Q93" s="52"/>
      <c r="R93" s="52"/>
    </row>
    <row r="94" spans="1:18" s="37" customFormat="1">
      <c r="B94" s="51">
        <v>8</v>
      </c>
      <c r="C94" s="52"/>
      <c r="D94" s="52">
        <f>D81*D73*L$3</f>
        <v>0</v>
      </c>
      <c r="E94" s="52" t="e">
        <f>E81*E73*M$3</f>
        <v>#DIV/0!</v>
      </c>
      <c r="F94" s="52" t="e">
        <f>F81*F73*N$3</f>
        <v>#DIV/0!</v>
      </c>
      <c r="G94" s="52" t="e">
        <f>G81*G73*Supuestos!Q$14</f>
        <v>#DIV/0!</v>
      </c>
      <c r="H94" s="52" t="e">
        <f>H81*H73*Supuestos!R$14</f>
        <v>#DIV/0!</v>
      </c>
      <c r="I94" s="52" t="e">
        <f>I81*I73*Supuestos!S$14</f>
        <v>#DIV/0!</v>
      </c>
      <c r="J94" s="52" t="e">
        <f>J81*J73*Supuestos!T$14</f>
        <v>#DIV/0!</v>
      </c>
      <c r="K94" s="52" t="e">
        <f>K81*K73*Supuestos!U$14</f>
        <v>#DIV/0!</v>
      </c>
      <c r="L94" s="52" t="e">
        <f>L81*L73*Supuestos!V$14</f>
        <v>#DIV/0!</v>
      </c>
      <c r="M94" s="52" t="e">
        <f>M81*M73*Supuestos!W$14</f>
        <v>#DIV/0!</v>
      </c>
      <c r="N94" s="52" t="e">
        <f>N81*N73*Supuestos!X$14</f>
        <v>#DIV/0!</v>
      </c>
      <c r="O94" s="52" t="e">
        <f>O81*O73*Supuestos!Y$14</f>
        <v>#DIV/0!</v>
      </c>
      <c r="P94" s="52"/>
      <c r="Q94" s="52"/>
      <c r="R94" s="52"/>
    </row>
    <row r="95" spans="1:18" s="37" customFormat="1">
      <c r="B95" s="51">
        <v>9</v>
      </c>
      <c r="C95" s="52"/>
      <c r="D95" s="52">
        <f>D81*D73*M$3</f>
        <v>0</v>
      </c>
      <c r="E95" s="52" t="e">
        <f>E81*E73*N$3</f>
        <v>#DIV/0!</v>
      </c>
      <c r="F95" s="52" t="e">
        <f>F81*F73*Supuestos!Q$14</f>
        <v>#DIV/0!</v>
      </c>
      <c r="G95" s="52" t="e">
        <f>G81*G73*Supuestos!R$14</f>
        <v>#DIV/0!</v>
      </c>
      <c r="H95" s="52" t="e">
        <f>H81*H73*Supuestos!S$14</f>
        <v>#DIV/0!</v>
      </c>
      <c r="I95" s="52" t="e">
        <f>I81*I73*Supuestos!T$14</f>
        <v>#DIV/0!</v>
      </c>
      <c r="J95" s="52" t="e">
        <f>J81*J73*Supuestos!U$14</f>
        <v>#DIV/0!</v>
      </c>
      <c r="K95" s="52" t="e">
        <f>K81*K73*Supuestos!V$14</f>
        <v>#DIV/0!</v>
      </c>
      <c r="L95" s="52" t="e">
        <f>L81*L73*Supuestos!W$14</f>
        <v>#DIV/0!</v>
      </c>
      <c r="M95" s="52" t="e">
        <f>M81*M73*Supuestos!X$14</f>
        <v>#DIV/0!</v>
      </c>
      <c r="N95" s="52" t="e">
        <f>N81*N73*Supuestos!Y$14</f>
        <v>#DIV/0!</v>
      </c>
      <c r="O95" s="52" t="e">
        <f>O81*O73*Supuestos!Z$14</f>
        <v>#DIV/0!</v>
      </c>
      <c r="P95" s="52"/>
      <c r="Q95" s="52"/>
      <c r="R95" s="52"/>
    </row>
    <row r="96" spans="1:18" s="37" customFormat="1">
      <c r="B96" s="51">
        <v>10</v>
      </c>
      <c r="C96" s="52"/>
      <c r="D96" s="52">
        <f>D81*D73*N$3</f>
        <v>0</v>
      </c>
      <c r="E96" s="52" t="e">
        <f>E81*E73*Supuestos!Q$14</f>
        <v>#DIV/0!</v>
      </c>
      <c r="F96" s="52" t="e">
        <f>F81*F73*Supuestos!R$14</f>
        <v>#DIV/0!</v>
      </c>
      <c r="G96" s="52" t="e">
        <f>G81*G73*Supuestos!S$14</f>
        <v>#DIV/0!</v>
      </c>
      <c r="H96" s="52" t="e">
        <f>H81*H73*Supuestos!T$14</f>
        <v>#DIV/0!</v>
      </c>
      <c r="I96" s="52" t="e">
        <f>I81*I73*Supuestos!U$14</f>
        <v>#DIV/0!</v>
      </c>
      <c r="J96" s="52" t="e">
        <f>J81*J73*Supuestos!V$14</f>
        <v>#DIV/0!</v>
      </c>
      <c r="K96" s="52" t="e">
        <f>K81*K73*Supuestos!W$14</f>
        <v>#DIV/0!</v>
      </c>
      <c r="L96" s="52" t="e">
        <f>L81*L73*Supuestos!X$14</f>
        <v>#DIV/0!</v>
      </c>
      <c r="M96" s="52" t="e">
        <f>M81*M73*Supuestos!Y$14</f>
        <v>#DIV/0!</v>
      </c>
      <c r="N96" s="52" t="e">
        <f>N81*N73*Supuestos!Z$14</f>
        <v>#DIV/0!</v>
      </c>
      <c r="O96" s="52" t="e">
        <f>O81*O73*Supuestos!AA$14</f>
        <v>#DIV/0!</v>
      </c>
      <c r="P96" s="52"/>
      <c r="Q96" s="52"/>
      <c r="R96" s="52"/>
    </row>
    <row r="97" spans="2:18" s="37" customFormat="1">
      <c r="B97" s="51">
        <v>11</v>
      </c>
      <c r="C97" s="52"/>
      <c r="D97" s="52">
        <f>D81*D73*Supuestos!Q$14</f>
        <v>0</v>
      </c>
      <c r="E97" s="52" t="e">
        <f>E81*E73*Supuestos!R$14</f>
        <v>#DIV/0!</v>
      </c>
      <c r="F97" s="52" t="e">
        <f>F81*F73*Supuestos!S$14</f>
        <v>#DIV/0!</v>
      </c>
      <c r="G97" s="52" t="e">
        <f>G81*G73*Supuestos!T$14</f>
        <v>#DIV/0!</v>
      </c>
      <c r="H97" s="52" t="e">
        <f>H81*H73*Supuestos!U$14</f>
        <v>#DIV/0!</v>
      </c>
      <c r="I97" s="52" t="e">
        <f>I81*I73*Supuestos!V$14</f>
        <v>#DIV/0!</v>
      </c>
      <c r="J97" s="52" t="e">
        <f>J81*J73*Supuestos!W$14</f>
        <v>#DIV/0!</v>
      </c>
      <c r="K97" s="52" t="e">
        <f>K81*K73*Supuestos!X$14</f>
        <v>#DIV/0!</v>
      </c>
      <c r="L97" s="52" t="e">
        <f>L81*L73*Supuestos!Y$14</f>
        <v>#DIV/0!</v>
      </c>
      <c r="M97" s="52" t="e">
        <f>M81*M73*Supuestos!Z$14</f>
        <v>#DIV/0!</v>
      </c>
      <c r="N97" s="52" t="e">
        <f>N81*N73*Supuestos!AA$14</f>
        <v>#DIV/0!</v>
      </c>
      <c r="O97" s="52" t="e">
        <f>O81*O73*Supuestos!AB$14</f>
        <v>#DIV/0!</v>
      </c>
      <c r="P97" s="52"/>
      <c r="Q97" s="52"/>
      <c r="R97" s="52"/>
    </row>
    <row r="98" spans="2:18" s="37" customFormat="1">
      <c r="B98" s="51">
        <v>12</v>
      </c>
      <c r="C98" s="52"/>
      <c r="D98" s="52">
        <f>D81*D73*Supuestos!R$14</f>
        <v>0</v>
      </c>
      <c r="E98" s="52" t="e">
        <f>E81*E73*Supuestos!S$14</f>
        <v>#DIV/0!</v>
      </c>
      <c r="F98" s="52" t="e">
        <f>F81*F73*Supuestos!T$14</f>
        <v>#DIV/0!</v>
      </c>
      <c r="G98" s="52" t="e">
        <f>G81*G73*Supuestos!U$14</f>
        <v>#DIV/0!</v>
      </c>
      <c r="H98" s="52" t="e">
        <f>H81*H73*Supuestos!V$14</f>
        <v>#DIV/0!</v>
      </c>
      <c r="I98" s="52" t="e">
        <f>I81*I73*Supuestos!W$14</f>
        <v>#DIV/0!</v>
      </c>
      <c r="J98" s="52" t="e">
        <f>J81*J73*Supuestos!X$14</f>
        <v>#DIV/0!</v>
      </c>
      <c r="K98" s="52" t="e">
        <f>K81*K73*Supuestos!Y$14</f>
        <v>#DIV/0!</v>
      </c>
      <c r="L98" s="52" t="e">
        <f>L81*L73*Supuestos!Z$14</f>
        <v>#DIV/0!</v>
      </c>
      <c r="M98" s="52" t="e">
        <f>M81*M73*Supuestos!AA$14</f>
        <v>#DIV/0!</v>
      </c>
      <c r="N98" s="52" t="e">
        <f>N81*N73*Supuestos!AB$14</f>
        <v>#DIV/0!</v>
      </c>
      <c r="O98" s="52" t="e">
        <f>O81*O73*Supuestos!AC$14</f>
        <v>#DIV/0!</v>
      </c>
      <c r="P98" s="52"/>
      <c r="Q98" s="52"/>
      <c r="R98" s="52"/>
    </row>
    <row r="99" spans="2:18" s="37" customFormat="1">
      <c r="B99" s="51">
        <v>13</v>
      </c>
      <c r="C99" s="52"/>
      <c r="D99" s="52">
        <f>D81*D73*Supuestos!S$14</f>
        <v>0</v>
      </c>
      <c r="E99" s="52" t="e">
        <f>E81*E73*Supuestos!T$14</f>
        <v>#DIV/0!</v>
      </c>
      <c r="F99" s="52" t="e">
        <f>F81*F73*Supuestos!U$14</f>
        <v>#DIV/0!</v>
      </c>
      <c r="G99" s="52" t="e">
        <f>G81*G73*Supuestos!V$14</f>
        <v>#DIV/0!</v>
      </c>
      <c r="H99" s="52" t="e">
        <f>H81*H73*Supuestos!W$14</f>
        <v>#DIV/0!</v>
      </c>
      <c r="I99" s="52" t="e">
        <f>I81*I73*Supuestos!X$14</f>
        <v>#DIV/0!</v>
      </c>
      <c r="J99" s="52" t="e">
        <f>J81*J73*Supuestos!Y$14</f>
        <v>#DIV/0!</v>
      </c>
      <c r="K99" s="52" t="e">
        <f>K81*K73*Supuestos!Z$14</f>
        <v>#DIV/0!</v>
      </c>
      <c r="L99" s="52" t="e">
        <f>L81*L73*Supuestos!AA$14</f>
        <v>#DIV/0!</v>
      </c>
      <c r="M99" s="52" t="e">
        <f>M81*M73*Supuestos!AB$14</f>
        <v>#DIV/0!</v>
      </c>
      <c r="N99" s="52" t="e">
        <f>N81*N73*Supuestos!AC$14</f>
        <v>#DIV/0!</v>
      </c>
      <c r="O99" s="52" t="e">
        <f>O81*O73*Supuestos!AD$14</f>
        <v>#DIV/0!</v>
      </c>
      <c r="P99" s="52"/>
      <c r="Q99" s="52"/>
      <c r="R99" s="52"/>
    </row>
    <row r="100" spans="2:18" s="37" customFormat="1">
      <c r="B100" s="51">
        <v>14</v>
      </c>
      <c r="C100" s="52"/>
      <c r="D100" s="52">
        <f>D81*D73*Supuestos!T$14</f>
        <v>0</v>
      </c>
      <c r="E100" s="52" t="e">
        <f>E81*E73*Supuestos!U$14</f>
        <v>#DIV/0!</v>
      </c>
      <c r="F100" s="52" t="e">
        <f>F81*F73*Supuestos!V$14</f>
        <v>#DIV/0!</v>
      </c>
      <c r="G100" s="52" t="e">
        <f>G81*G73*Supuestos!W$14</f>
        <v>#DIV/0!</v>
      </c>
      <c r="H100" s="52" t="e">
        <f>H81*H73*Supuestos!X$14</f>
        <v>#DIV/0!</v>
      </c>
      <c r="I100" s="52" t="e">
        <f>I81*I73*Supuestos!Y$14</f>
        <v>#DIV/0!</v>
      </c>
      <c r="J100" s="52" t="e">
        <f>J81*J73*Supuestos!Z$14</f>
        <v>#DIV/0!</v>
      </c>
      <c r="K100" s="52" t="e">
        <f>K81*K73*Supuestos!AA$14</f>
        <v>#DIV/0!</v>
      </c>
      <c r="L100" s="52" t="e">
        <f>L81*L73*Supuestos!AB$14</f>
        <v>#DIV/0!</v>
      </c>
      <c r="M100" s="52" t="e">
        <f>M81*M73*Supuestos!AC$14</f>
        <v>#DIV/0!</v>
      </c>
      <c r="N100" s="52" t="e">
        <f>N81*N73*Supuestos!AD$14</f>
        <v>#DIV/0!</v>
      </c>
      <c r="O100" s="52" t="e">
        <f>O81*O73*Supuestos!AE$14</f>
        <v>#DIV/0!</v>
      </c>
      <c r="P100" s="52"/>
      <c r="Q100" s="52"/>
      <c r="R100" s="52"/>
    </row>
    <row r="101" spans="2:18" s="37" customFormat="1">
      <c r="B101" s="51">
        <v>15</v>
      </c>
      <c r="C101" s="52"/>
      <c r="D101" s="52">
        <f>D81*D73*Supuestos!U$14</f>
        <v>0</v>
      </c>
      <c r="E101" s="52" t="e">
        <f>E81*E73*Supuestos!V$14</f>
        <v>#DIV/0!</v>
      </c>
      <c r="F101" s="52" t="e">
        <f>F81*F73*Supuestos!W$14</f>
        <v>#DIV/0!</v>
      </c>
      <c r="G101" s="52" t="e">
        <f>G81*G73*Supuestos!X$14</f>
        <v>#DIV/0!</v>
      </c>
      <c r="H101" s="52" t="e">
        <f>H81*H73*Supuestos!Y$14</f>
        <v>#DIV/0!</v>
      </c>
      <c r="I101" s="52" t="e">
        <f>I81*I73*Supuestos!Z$14</f>
        <v>#DIV/0!</v>
      </c>
      <c r="J101" s="52" t="e">
        <f>J81*J73*Supuestos!AA$14</f>
        <v>#DIV/0!</v>
      </c>
      <c r="K101" s="52" t="e">
        <f>K81*K73*Supuestos!AB$14</f>
        <v>#DIV/0!</v>
      </c>
      <c r="L101" s="52" t="e">
        <f>L81*L73*Supuestos!AC$14</f>
        <v>#DIV/0!</v>
      </c>
      <c r="M101" s="52" t="e">
        <f>M81*M73*Supuestos!AD$14</f>
        <v>#DIV/0!</v>
      </c>
      <c r="N101" s="52" t="e">
        <f>N81*N73*Supuestos!AE$14</f>
        <v>#DIV/0!</v>
      </c>
      <c r="O101" s="52" t="e">
        <f>O81*O73*Supuestos!AF$14</f>
        <v>#DIV/0!</v>
      </c>
      <c r="P101" s="52"/>
      <c r="Q101" s="52"/>
      <c r="R101" s="52"/>
    </row>
    <row r="102" spans="2:18" s="37" customFormat="1">
      <c r="B102" s="51">
        <v>16</v>
      </c>
      <c r="C102" s="52"/>
      <c r="D102" s="52">
        <f>D81*D73*Supuestos!V$14</f>
        <v>0</v>
      </c>
      <c r="E102" s="52" t="e">
        <f>E81*E73*Supuestos!W$14</f>
        <v>#DIV/0!</v>
      </c>
      <c r="F102" s="52" t="e">
        <f>F81*F73*Supuestos!X$14</f>
        <v>#DIV/0!</v>
      </c>
      <c r="G102" s="52" t="e">
        <f>G81*G73*Supuestos!Y$14</f>
        <v>#DIV/0!</v>
      </c>
      <c r="H102" s="52" t="e">
        <f>H81*H73*Supuestos!Z$14</f>
        <v>#DIV/0!</v>
      </c>
      <c r="I102" s="52" t="e">
        <f>I81*I73*Supuestos!AA$14</f>
        <v>#DIV/0!</v>
      </c>
      <c r="J102" s="52" t="e">
        <f>J81*J73*Supuestos!AB$14</f>
        <v>#DIV/0!</v>
      </c>
      <c r="K102" s="52" t="e">
        <f>K81*K73*Supuestos!AC$14</f>
        <v>#DIV/0!</v>
      </c>
      <c r="L102" s="52" t="e">
        <f>L81*L73*Supuestos!AD$14</f>
        <v>#DIV/0!</v>
      </c>
      <c r="M102" s="52" t="e">
        <f>M81*M73*Supuestos!AE$14</f>
        <v>#DIV/0!</v>
      </c>
      <c r="N102" s="52" t="e">
        <f>N81*N73*Supuestos!AF$14</f>
        <v>#DIV/0!</v>
      </c>
      <c r="O102" s="52" t="e">
        <f>O81*O73*Supuestos!AG$14</f>
        <v>#DIV/0!</v>
      </c>
      <c r="P102" s="52"/>
      <c r="Q102" s="52"/>
      <c r="R102" s="52"/>
    </row>
    <row r="103" spans="2:18" s="37" customFormat="1">
      <c r="B103" s="51">
        <v>17</v>
      </c>
      <c r="C103" s="52"/>
      <c r="D103" s="52">
        <f>D81*D73*Supuestos!W$14</f>
        <v>0</v>
      </c>
      <c r="E103" s="52" t="e">
        <f>E81*E73*Supuestos!X$14</f>
        <v>#DIV/0!</v>
      </c>
      <c r="F103" s="52" t="e">
        <f>F81*F73*Supuestos!Y$14</f>
        <v>#DIV/0!</v>
      </c>
      <c r="G103" s="52" t="e">
        <f>G81*G73*Supuestos!Z$14</f>
        <v>#DIV/0!</v>
      </c>
      <c r="H103" s="52" t="e">
        <f>H81*H73*Supuestos!AA$14</f>
        <v>#DIV/0!</v>
      </c>
      <c r="I103" s="52" t="e">
        <f>I81*I73*Supuestos!AB$14</f>
        <v>#DIV/0!</v>
      </c>
      <c r="J103" s="52" t="e">
        <f>J81*J73*Supuestos!AC$14</f>
        <v>#DIV/0!</v>
      </c>
      <c r="K103" s="52" t="e">
        <f>K81*K73*Supuestos!AD$14</f>
        <v>#DIV/0!</v>
      </c>
      <c r="L103" s="52" t="e">
        <f>L81*L73*Supuestos!AE$14</f>
        <v>#DIV/0!</v>
      </c>
      <c r="M103" s="52" t="e">
        <f>M81*M73*Supuestos!AF$14</f>
        <v>#DIV/0!</v>
      </c>
      <c r="N103" s="52" t="e">
        <f>N81*N73*Supuestos!AG$14</f>
        <v>#DIV/0!</v>
      </c>
      <c r="O103" s="52" t="e">
        <f>O81*O73*Supuestos!AH$14</f>
        <v>#DIV/0!</v>
      </c>
      <c r="P103" s="52"/>
      <c r="Q103" s="52"/>
      <c r="R103" s="52"/>
    </row>
    <row r="104" spans="2:18" s="37" customFormat="1">
      <c r="B104" s="51">
        <v>18</v>
      </c>
      <c r="C104" s="52"/>
      <c r="D104" s="52">
        <f>D81*D73*Supuestos!X$14</f>
        <v>0</v>
      </c>
      <c r="E104" s="52" t="e">
        <f>E81*E73*Supuestos!Y$14</f>
        <v>#DIV/0!</v>
      </c>
      <c r="F104" s="52" t="e">
        <f>F81*F73*Supuestos!Z$14</f>
        <v>#DIV/0!</v>
      </c>
      <c r="G104" s="52" t="e">
        <f>G81*G73*Supuestos!AA$14</f>
        <v>#DIV/0!</v>
      </c>
      <c r="H104" s="52" t="e">
        <f>H81*H73*Supuestos!AB$14</f>
        <v>#DIV/0!</v>
      </c>
      <c r="I104" s="52" t="e">
        <f>I81*I73*Supuestos!AC$14</f>
        <v>#DIV/0!</v>
      </c>
      <c r="J104" s="52" t="e">
        <f>J81*J73*Supuestos!AD$14</f>
        <v>#DIV/0!</v>
      </c>
      <c r="K104" s="52" t="e">
        <f>K81*K73*Supuestos!AE$14</f>
        <v>#DIV/0!</v>
      </c>
      <c r="L104" s="52" t="e">
        <f>L81*L73*Supuestos!AF$14</f>
        <v>#DIV/0!</v>
      </c>
      <c r="M104" s="52" t="e">
        <f>M81*M73*Supuestos!AG$14</f>
        <v>#DIV/0!</v>
      </c>
      <c r="N104" s="52" t="e">
        <f>N81*N73*Supuestos!AH$14</f>
        <v>#DIV/0!</v>
      </c>
      <c r="O104" s="52" t="e">
        <f>O81*O73*Supuestos!AI$14</f>
        <v>#DIV/0!</v>
      </c>
      <c r="P104" s="52"/>
      <c r="Q104" s="52"/>
      <c r="R104" s="52"/>
    </row>
    <row r="105" spans="2:18" s="37" customFormat="1">
      <c r="B105" s="51">
        <v>19</v>
      </c>
      <c r="C105" s="52"/>
      <c r="D105" s="52">
        <f>D81*D73*Supuestos!Y$14</f>
        <v>0</v>
      </c>
      <c r="E105" s="52" t="e">
        <f>E81*E73*Supuestos!Z$14</f>
        <v>#DIV/0!</v>
      </c>
      <c r="F105" s="52" t="e">
        <f>F81*F73*Supuestos!AA$14</f>
        <v>#DIV/0!</v>
      </c>
      <c r="G105" s="52" t="e">
        <f>G81*G73*Supuestos!AB$14</f>
        <v>#DIV/0!</v>
      </c>
      <c r="H105" s="52" t="e">
        <f>H81*H73*Supuestos!AC$14</f>
        <v>#DIV/0!</v>
      </c>
      <c r="I105" s="52" t="e">
        <f>I81*I73*Supuestos!AD$14</f>
        <v>#DIV/0!</v>
      </c>
      <c r="J105" s="52" t="e">
        <f>J81*J73*Supuestos!AE$14</f>
        <v>#DIV/0!</v>
      </c>
      <c r="K105" s="52" t="e">
        <f>K81*K73*Supuestos!AF$14</f>
        <v>#DIV/0!</v>
      </c>
      <c r="L105" s="52" t="e">
        <f>L81*L73*Supuestos!AG$14</f>
        <v>#DIV/0!</v>
      </c>
      <c r="M105" s="52" t="e">
        <f>M81*M73*Supuestos!AH$14</f>
        <v>#DIV/0!</v>
      </c>
      <c r="N105" s="52" t="e">
        <f>N81*N73*Supuestos!AI$14</f>
        <v>#DIV/0!</v>
      </c>
      <c r="O105" s="52" t="e">
        <f>O81*O73*Supuestos!AJ$14</f>
        <v>#DIV/0!</v>
      </c>
      <c r="P105" s="52"/>
      <c r="Q105" s="52"/>
      <c r="R105" s="52"/>
    </row>
    <row r="106" spans="2:18" s="37" customFormat="1">
      <c r="B106" s="51">
        <v>20</v>
      </c>
      <c r="C106" s="52"/>
      <c r="D106" s="52">
        <f>D81*D73*Supuestos!Z$14</f>
        <v>0</v>
      </c>
      <c r="E106" s="52" t="e">
        <f>E81*E73*Supuestos!AA$14</f>
        <v>#DIV/0!</v>
      </c>
      <c r="F106" s="52" t="e">
        <f>F81*F73*Supuestos!AB$14</f>
        <v>#DIV/0!</v>
      </c>
      <c r="G106" s="52" t="e">
        <f>G81*G73*Supuestos!AC$14</f>
        <v>#DIV/0!</v>
      </c>
      <c r="H106" s="52" t="e">
        <f>H81*H73*Supuestos!AD$14</f>
        <v>#DIV/0!</v>
      </c>
      <c r="I106" s="52" t="e">
        <f>I81*I73*Supuestos!AE$14</f>
        <v>#DIV/0!</v>
      </c>
      <c r="J106" s="52" t="e">
        <f>J81*J73*Supuestos!AF$14</f>
        <v>#DIV/0!</v>
      </c>
      <c r="K106" s="52" t="e">
        <f>K81*K73*Supuestos!AG$14</f>
        <v>#DIV/0!</v>
      </c>
      <c r="L106" s="52" t="e">
        <f>L81*L73*Supuestos!AH$14</f>
        <v>#DIV/0!</v>
      </c>
      <c r="M106" s="52" t="e">
        <f>M81*M73*Supuestos!AI$14</f>
        <v>#DIV/0!</v>
      </c>
      <c r="N106" s="52" t="e">
        <f>N81*N73*Supuestos!AJ$14</f>
        <v>#DIV/0!</v>
      </c>
      <c r="O106" s="52" t="e">
        <f>O81*O73*Supuestos!AK$14</f>
        <v>#DIV/0!</v>
      </c>
      <c r="P106" s="52"/>
      <c r="Q106" s="52"/>
      <c r="R106" s="52"/>
    </row>
    <row r="107" spans="2:18" s="37" customFormat="1">
      <c r="B107" s="51"/>
      <c r="P107" s="52"/>
      <c r="Q107" s="52"/>
      <c r="R107" s="52"/>
    </row>
    <row r="108" spans="2:18" s="37" customFormat="1" ht="16">
      <c r="B108" s="51" t="s">
        <v>113</v>
      </c>
      <c r="C108" s="52"/>
      <c r="D108" s="52">
        <f>C87</f>
        <v>0</v>
      </c>
      <c r="E108" s="52">
        <f>D87+C88</f>
        <v>0</v>
      </c>
      <c r="F108" s="52" t="e">
        <f>E87+D88+C89</f>
        <v>#DIV/0!</v>
      </c>
      <c r="G108" s="52" t="e">
        <f>F87+E88+D89+C90</f>
        <v>#DIV/0!</v>
      </c>
      <c r="H108" s="52" t="e">
        <f>G87+F88+E89+D90+C91</f>
        <v>#DIV/0!</v>
      </c>
      <c r="I108" s="52" t="e">
        <f>H87+G88+F89+E90+D91+C92</f>
        <v>#DIV/0!</v>
      </c>
      <c r="J108" s="52" t="e">
        <f>I87+H88+G89+F90+E91+D92+C93</f>
        <v>#DIV/0!</v>
      </c>
      <c r="K108" s="52" t="e">
        <f>J87+I88+H89+G90+F91+E92+D93+C94</f>
        <v>#DIV/0!</v>
      </c>
      <c r="L108" s="52" t="e">
        <f>K87+J88+I89+H90+G91+F92+E93+D94+C95</f>
        <v>#DIV/0!</v>
      </c>
      <c r="M108" s="52" t="e">
        <f>L87+K88+J89+I90+H91+G92+F93+E94+D95+C96</f>
        <v>#DIV/0!</v>
      </c>
      <c r="N108" s="52" t="e">
        <f>M87+L88+K89+J90+I91+H92+G93+F94+E95+D96+C97</f>
        <v>#DIV/0!</v>
      </c>
      <c r="O108" s="52" t="e">
        <f>N87+M88+L89+K90+J91+I92+H93+G94+F95+E96+D97</f>
        <v>#DIV/0!</v>
      </c>
      <c r="P108" s="52"/>
      <c r="Q108" s="52"/>
      <c r="R108" s="52"/>
    </row>
    <row r="109" spans="2:18" s="37" customFormat="1" ht="16">
      <c r="B109" s="51" t="s">
        <v>114</v>
      </c>
      <c r="C109" s="52"/>
      <c r="D109" s="52">
        <f t="shared" ref="D109:J109" si="76">D86</f>
        <v>0</v>
      </c>
      <c r="E109" s="52">
        <f t="shared" si="76"/>
        <v>0</v>
      </c>
      <c r="F109" s="52">
        <f t="shared" si="76"/>
        <v>0</v>
      </c>
      <c r="G109" s="52">
        <f t="shared" si="76"/>
        <v>0</v>
      </c>
      <c r="H109" s="52">
        <f t="shared" si="76"/>
        <v>0</v>
      </c>
      <c r="I109" s="52">
        <f t="shared" si="76"/>
        <v>0</v>
      </c>
      <c r="J109" s="52">
        <f t="shared" si="76"/>
        <v>0</v>
      </c>
      <c r="K109" s="52">
        <f>K86</f>
        <v>0</v>
      </c>
      <c r="L109" s="52">
        <f>L86</f>
        <v>0</v>
      </c>
      <c r="M109" s="52">
        <f>M86</f>
        <v>0</v>
      </c>
      <c r="N109" s="52">
        <f>N86</f>
        <v>0</v>
      </c>
      <c r="O109" s="52">
        <f>O86</f>
        <v>0</v>
      </c>
      <c r="P109" s="52"/>
      <c r="Q109" s="52"/>
      <c r="R109" s="52"/>
    </row>
    <row r="110" spans="2:18" s="37" customFormat="1">
      <c r="B110" s="51"/>
      <c r="C110" s="52"/>
      <c r="D110" s="52"/>
      <c r="E110" s="52"/>
      <c r="F110" s="52"/>
      <c r="G110" s="52"/>
      <c r="H110" s="52"/>
      <c r="I110" s="52"/>
      <c r="J110" s="52"/>
      <c r="K110" s="52"/>
      <c r="L110" s="52"/>
      <c r="M110" s="52"/>
      <c r="N110" s="52"/>
      <c r="O110" s="52"/>
      <c r="P110" s="52"/>
      <c r="Q110" s="52"/>
      <c r="R110" s="52"/>
    </row>
    <row r="111" spans="2:18" s="37" customFormat="1">
      <c r="B111" s="51"/>
      <c r="C111" s="52"/>
      <c r="D111" s="54"/>
      <c r="E111" s="54"/>
      <c r="F111" s="54"/>
      <c r="G111" s="54"/>
      <c r="H111" s="54"/>
      <c r="I111" s="54"/>
      <c r="J111" s="54"/>
      <c r="K111" s="54"/>
      <c r="L111" s="54"/>
      <c r="M111" s="54"/>
      <c r="N111" s="54"/>
      <c r="O111" s="54"/>
      <c r="P111" s="52"/>
      <c r="Q111" s="52"/>
      <c r="R111" s="52"/>
    </row>
    <row r="112" spans="2:18" s="37" customFormat="1">
      <c r="B112" s="49">
        <v>30</v>
      </c>
      <c r="C112" s="50"/>
      <c r="D112" s="50">
        <v>2023</v>
      </c>
      <c r="E112" s="50">
        <v>2024</v>
      </c>
      <c r="F112" s="50">
        <v>2025</v>
      </c>
      <c r="G112" s="50">
        <v>2026</v>
      </c>
      <c r="H112" s="50">
        <v>2027</v>
      </c>
      <c r="I112" s="50">
        <v>2028</v>
      </c>
      <c r="J112" s="50">
        <v>2029</v>
      </c>
      <c r="K112" s="50">
        <v>2030</v>
      </c>
      <c r="L112" s="50">
        <v>2031</v>
      </c>
      <c r="M112" s="50">
        <v>2032</v>
      </c>
      <c r="N112" s="50">
        <v>2033</v>
      </c>
      <c r="O112" s="50">
        <v>2034</v>
      </c>
      <c r="P112" s="52"/>
      <c r="Q112" s="52"/>
      <c r="R112" s="52"/>
    </row>
    <row r="113" spans="1:18" s="37" customFormat="1" ht="16">
      <c r="B113" s="51" t="s">
        <v>105</v>
      </c>
      <c r="C113" s="54"/>
      <c r="D113" s="54">
        <f>Supuestos!F64</f>
        <v>0</v>
      </c>
      <c r="E113" s="54">
        <f>Supuestos!G64</f>
        <v>0</v>
      </c>
      <c r="F113" s="54">
        <f>Supuestos!H64</f>
        <v>0</v>
      </c>
      <c r="G113" s="54">
        <f>Supuestos!I64</f>
        <v>0</v>
      </c>
      <c r="H113" s="54">
        <f>Supuestos!J64</f>
        <v>0</v>
      </c>
      <c r="I113" s="54">
        <f>Supuestos!K64</f>
        <v>0</v>
      </c>
      <c r="J113" s="54">
        <f>Supuestos!L64</f>
        <v>0</v>
      </c>
      <c r="K113" s="54">
        <f>Supuestos!M64</f>
        <v>0</v>
      </c>
      <c r="L113" s="54">
        <f>Supuestos!N64</f>
        <v>0</v>
      </c>
      <c r="M113" s="54">
        <f>Supuestos!O64</f>
        <v>0</v>
      </c>
      <c r="N113" s="54">
        <f>Supuestos!P64</f>
        <v>0</v>
      </c>
      <c r="O113" s="54">
        <f>Supuestos!Q64</f>
        <v>0</v>
      </c>
      <c r="P113" s="52"/>
      <c r="Q113" s="52"/>
      <c r="R113" s="52"/>
    </row>
    <row r="114" spans="1:18" s="37" customFormat="1" ht="16">
      <c r="B114" s="51" t="s">
        <v>89</v>
      </c>
      <c r="C114" s="54"/>
      <c r="D114" s="54">
        <f>Supuestos!F65</f>
        <v>0</v>
      </c>
      <c r="E114" s="54">
        <f>Supuestos!G65</f>
        <v>0</v>
      </c>
      <c r="F114" s="54">
        <f>Supuestos!H65</f>
        <v>0</v>
      </c>
      <c r="G114" s="54">
        <f>Supuestos!I65</f>
        <v>0</v>
      </c>
      <c r="H114" s="54">
        <f>Supuestos!J65</f>
        <v>0</v>
      </c>
      <c r="I114" s="54">
        <f>Supuestos!K65</f>
        <v>0</v>
      </c>
      <c r="J114" s="54">
        <f>Supuestos!L65</f>
        <v>0</v>
      </c>
      <c r="K114" s="54">
        <f>Supuestos!M65</f>
        <v>0</v>
      </c>
      <c r="L114" s="54">
        <f>Supuestos!N65</f>
        <v>0</v>
      </c>
      <c r="M114" s="54">
        <f>Supuestos!O65</f>
        <v>0</v>
      </c>
      <c r="N114" s="54">
        <f>Supuestos!P65</f>
        <v>0</v>
      </c>
      <c r="O114" s="54">
        <f>Supuestos!Q65</f>
        <v>0</v>
      </c>
      <c r="P114" s="52"/>
      <c r="Q114" s="52"/>
      <c r="R114" s="52"/>
    </row>
    <row r="115" spans="1:18" s="37" customFormat="1" ht="16">
      <c r="B115" s="51" t="s">
        <v>90</v>
      </c>
      <c r="C115" s="55"/>
      <c r="D115" s="55">
        <f>Supuestos!F66</f>
        <v>30</v>
      </c>
      <c r="E115" s="55">
        <f>Supuestos!G66</f>
        <v>30</v>
      </c>
      <c r="F115" s="55">
        <f>Supuestos!H66</f>
        <v>30</v>
      </c>
      <c r="G115" s="55">
        <f>Supuestos!I66</f>
        <v>30</v>
      </c>
      <c r="H115" s="55">
        <f>Supuestos!J66</f>
        <v>30</v>
      </c>
      <c r="I115" s="55">
        <f>Supuestos!K66</f>
        <v>30</v>
      </c>
      <c r="J115" s="55">
        <f>Supuestos!L66</f>
        <v>30</v>
      </c>
      <c r="K115" s="55">
        <f>Supuestos!M66</f>
        <v>30</v>
      </c>
      <c r="L115" s="55">
        <f>Supuestos!N66</f>
        <v>30</v>
      </c>
      <c r="M115" s="55">
        <f>Supuestos!O66</f>
        <v>30</v>
      </c>
      <c r="N115" s="55">
        <f>Supuestos!P66</f>
        <v>30</v>
      </c>
      <c r="O115" s="55">
        <f>Supuestos!Q66</f>
        <v>30</v>
      </c>
      <c r="P115" s="52"/>
      <c r="Q115" s="52"/>
      <c r="R115" s="52"/>
    </row>
    <row r="116" spans="1:18" s="37" customFormat="1" ht="16">
      <c r="B116" s="51" t="s">
        <v>79</v>
      </c>
      <c r="C116" s="56"/>
      <c r="D116" s="56">
        <f t="shared" ref="D116:N116" si="77">D112+D115</f>
        <v>2053</v>
      </c>
      <c r="E116" s="56">
        <f t="shared" si="77"/>
        <v>2054</v>
      </c>
      <c r="F116" s="56">
        <f t="shared" si="77"/>
        <v>2055</v>
      </c>
      <c r="G116" s="56">
        <f t="shared" si="77"/>
        <v>2056</v>
      </c>
      <c r="H116" s="56">
        <f t="shared" si="77"/>
        <v>2057</v>
      </c>
      <c r="I116" s="56">
        <f t="shared" si="77"/>
        <v>2058</v>
      </c>
      <c r="J116" s="56">
        <f t="shared" si="77"/>
        <v>2059</v>
      </c>
      <c r="K116" s="56">
        <f t="shared" si="77"/>
        <v>2060</v>
      </c>
      <c r="L116" s="56">
        <f t="shared" si="77"/>
        <v>2061</v>
      </c>
      <c r="M116" s="56">
        <f t="shared" si="77"/>
        <v>2062</v>
      </c>
      <c r="N116" s="56">
        <f t="shared" si="77"/>
        <v>2063</v>
      </c>
      <c r="O116" s="56">
        <f t="shared" ref="O116" si="78">O112+O115</f>
        <v>2064</v>
      </c>
      <c r="P116" s="56"/>
      <c r="Q116" s="56"/>
      <c r="R116" s="56"/>
    </row>
    <row r="117" spans="1:18" s="37" customFormat="1" ht="16">
      <c r="B117" s="51" t="s">
        <v>107</v>
      </c>
      <c r="C117" s="54"/>
      <c r="D117" s="54">
        <f>Supuestos!F50</f>
        <v>0</v>
      </c>
      <c r="E117" s="54">
        <f>Supuestos!G50</f>
        <v>0</v>
      </c>
      <c r="F117" s="54">
        <f>Supuestos!H50</f>
        <v>0</v>
      </c>
      <c r="G117" s="54">
        <f>Supuestos!I50</f>
        <v>0</v>
      </c>
      <c r="H117" s="54">
        <f>Supuestos!J50</f>
        <v>0</v>
      </c>
      <c r="I117" s="54">
        <f>Supuestos!K50</f>
        <v>0</v>
      </c>
      <c r="J117" s="54">
        <f>Supuestos!L50</f>
        <v>0</v>
      </c>
      <c r="K117" s="54">
        <f>Supuestos!M50</f>
        <v>0</v>
      </c>
      <c r="L117" s="54">
        <f>Supuestos!N50</f>
        <v>0</v>
      </c>
      <c r="M117" s="54">
        <f>Supuestos!O50</f>
        <v>0</v>
      </c>
      <c r="N117" s="54">
        <f>Supuestos!P50</f>
        <v>0</v>
      </c>
      <c r="O117" s="54">
        <f>Supuestos!Q50</f>
        <v>0</v>
      </c>
      <c r="P117" s="52"/>
      <c r="Q117" s="52"/>
      <c r="R117" s="52"/>
    </row>
    <row r="118" spans="1:18" s="37" customFormat="1" ht="16">
      <c r="B118" s="51" t="s">
        <v>302</v>
      </c>
      <c r="C118" s="52"/>
      <c r="D118" s="52">
        <f t="shared" ref="D118:O118" si="79">D$5*D117</f>
        <v>0</v>
      </c>
      <c r="E118" s="52" t="e">
        <f t="shared" si="79"/>
        <v>#DIV/0!</v>
      </c>
      <c r="F118" s="52" t="e">
        <f t="shared" si="79"/>
        <v>#DIV/0!</v>
      </c>
      <c r="G118" s="52" t="e">
        <f t="shared" si="79"/>
        <v>#DIV/0!</v>
      </c>
      <c r="H118" s="52" t="e">
        <f t="shared" si="79"/>
        <v>#DIV/0!</v>
      </c>
      <c r="I118" s="52" t="e">
        <f t="shared" si="79"/>
        <v>#DIV/0!</v>
      </c>
      <c r="J118" s="52" t="e">
        <f t="shared" si="79"/>
        <v>#DIV/0!</v>
      </c>
      <c r="K118" s="52" t="e">
        <f t="shared" si="79"/>
        <v>#DIV/0!</v>
      </c>
      <c r="L118" s="52" t="e">
        <f t="shared" si="79"/>
        <v>#DIV/0!</v>
      </c>
      <c r="M118" s="52" t="e">
        <f t="shared" si="79"/>
        <v>#DIV/0!</v>
      </c>
      <c r="N118" s="52" t="e">
        <f t="shared" si="79"/>
        <v>#DIV/0!</v>
      </c>
      <c r="O118" s="52" t="e">
        <f t="shared" si="79"/>
        <v>#DIV/0!</v>
      </c>
      <c r="P118" s="52"/>
      <c r="Q118" s="52"/>
      <c r="R118" s="52"/>
    </row>
    <row r="119" spans="1:18" s="37" customFormat="1" ht="16">
      <c r="B119" s="51" t="s">
        <v>173</v>
      </c>
      <c r="C119" s="52"/>
      <c r="D119" s="52">
        <f t="shared" ref="D119:N119" si="80">D$6*D117</f>
        <v>0</v>
      </c>
      <c r="E119" s="52">
        <f t="shared" si="80"/>
        <v>0</v>
      </c>
      <c r="F119" s="52">
        <f t="shared" si="80"/>
        <v>0</v>
      </c>
      <c r="G119" s="52">
        <f t="shared" si="80"/>
        <v>0</v>
      </c>
      <c r="H119" s="52">
        <f t="shared" si="80"/>
        <v>0</v>
      </c>
      <c r="I119" s="52">
        <f t="shared" si="80"/>
        <v>0</v>
      </c>
      <c r="J119" s="52">
        <f t="shared" si="80"/>
        <v>0</v>
      </c>
      <c r="K119" s="52">
        <f t="shared" si="80"/>
        <v>0</v>
      </c>
      <c r="L119" s="52">
        <f t="shared" si="80"/>
        <v>0</v>
      </c>
      <c r="M119" s="52">
        <f t="shared" si="80"/>
        <v>0</v>
      </c>
      <c r="N119" s="52">
        <f t="shared" si="80"/>
        <v>0</v>
      </c>
      <c r="O119" s="52">
        <f t="shared" ref="O119" si="81">O$6*O117</f>
        <v>0</v>
      </c>
      <c r="P119" s="52"/>
      <c r="Q119" s="52"/>
      <c r="R119" s="52"/>
    </row>
    <row r="120" spans="1:18" s="35" customFormat="1" ht="16">
      <c r="B120" s="58" t="s">
        <v>116</v>
      </c>
      <c r="C120" s="60"/>
      <c r="D120" s="60">
        <f t="shared" ref="D120:N120" si="82">SUM(D118:D119)</f>
        <v>0</v>
      </c>
      <c r="E120" s="60" t="e">
        <f t="shared" si="82"/>
        <v>#DIV/0!</v>
      </c>
      <c r="F120" s="60" t="e">
        <f t="shared" si="82"/>
        <v>#DIV/0!</v>
      </c>
      <c r="G120" s="60" t="e">
        <f t="shared" si="82"/>
        <v>#DIV/0!</v>
      </c>
      <c r="H120" s="60" t="e">
        <f t="shared" si="82"/>
        <v>#DIV/0!</v>
      </c>
      <c r="I120" s="60" t="e">
        <f t="shared" si="82"/>
        <v>#DIV/0!</v>
      </c>
      <c r="J120" s="60" t="e">
        <f t="shared" si="82"/>
        <v>#DIV/0!</v>
      </c>
      <c r="K120" s="60" t="e">
        <f t="shared" si="82"/>
        <v>#DIV/0!</v>
      </c>
      <c r="L120" s="60" t="e">
        <f t="shared" si="82"/>
        <v>#DIV/0!</v>
      </c>
      <c r="M120" s="60" t="e">
        <f t="shared" si="82"/>
        <v>#DIV/0!</v>
      </c>
      <c r="N120" s="60" t="e">
        <f t="shared" si="82"/>
        <v>#DIV/0!</v>
      </c>
      <c r="O120" s="60" t="e">
        <f t="shared" ref="O120" si="83">SUM(O118:O119)</f>
        <v>#DIV/0!</v>
      </c>
      <c r="P120" s="60"/>
      <c r="Q120" s="60"/>
      <c r="R120" s="60"/>
    </row>
    <row r="121" spans="1:18" s="401" customFormat="1" ht="16">
      <c r="A121" s="403"/>
      <c r="B121" s="400" t="s">
        <v>119</v>
      </c>
      <c r="C121" s="402"/>
      <c r="D121" s="402">
        <f t="shared" ref="D121:O121" si="84">(D120/D$3)</f>
        <v>0</v>
      </c>
      <c r="E121" s="402" t="e">
        <f t="shared" si="84"/>
        <v>#DIV/0!</v>
      </c>
      <c r="F121" s="402" t="e">
        <f t="shared" si="84"/>
        <v>#DIV/0!</v>
      </c>
      <c r="G121" s="402" t="e">
        <f t="shared" si="84"/>
        <v>#DIV/0!</v>
      </c>
      <c r="H121" s="402" t="e">
        <f t="shared" si="84"/>
        <v>#DIV/0!</v>
      </c>
      <c r="I121" s="402" t="e">
        <f t="shared" si="84"/>
        <v>#DIV/0!</v>
      </c>
      <c r="J121" s="402" t="e">
        <f t="shared" si="84"/>
        <v>#DIV/0!</v>
      </c>
      <c r="K121" s="402" t="e">
        <f t="shared" si="84"/>
        <v>#DIV/0!</v>
      </c>
      <c r="L121" s="402" t="e">
        <f t="shared" si="84"/>
        <v>#DIV/0!</v>
      </c>
      <c r="M121" s="402" t="e">
        <f t="shared" si="84"/>
        <v>#DIV/0!</v>
      </c>
      <c r="N121" s="402" t="e">
        <f t="shared" si="84"/>
        <v>#DIV/0!</v>
      </c>
      <c r="O121" s="402" t="e">
        <f t="shared" si="84"/>
        <v>#DIV/0!</v>
      </c>
      <c r="P121" s="402"/>
      <c r="Q121" s="402"/>
      <c r="R121" s="402"/>
    </row>
    <row r="122" spans="1:18" s="37" customFormat="1" ht="16">
      <c r="B122" s="51" t="s">
        <v>118</v>
      </c>
      <c r="C122" s="52"/>
      <c r="D122" s="52">
        <f t="shared" ref="D122:O122" si="85">D121*HLOOKUP((D112+D115),$D2:$AT3,2,FALSE)</f>
        <v>0</v>
      </c>
      <c r="E122" s="52" t="e">
        <f t="shared" si="85"/>
        <v>#DIV/0!</v>
      </c>
      <c r="F122" s="52" t="e">
        <f t="shared" si="85"/>
        <v>#DIV/0!</v>
      </c>
      <c r="G122" s="52" t="e">
        <f t="shared" si="85"/>
        <v>#DIV/0!</v>
      </c>
      <c r="H122" s="52" t="e">
        <f t="shared" si="85"/>
        <v>#DIV/0!</v>
      </c>
      <c r="I122" s="52" t="e">
        <f t="shared" si="85"/>
        <v>#DIV/0!</v>
      </c>
      <c r="J122" s="52" t="e">
        <f t="shared" si="85"/>
        <v>#DIV/0!</v>
      </c>
      <c r="K122" s="52" t="e">
        <f t="shared" si="85"/>
        <v>#DIV/0!</v>
      </c>
      <c r="L122" s="52" t="e">
        <f t="shared" si="85"/>
        <v>#DIV/0!</v>
      </c>
      <c r="M122" s="52" t="e">
        <f t="shared" si="85"/>
        <v>#DIV/0!</v>
      </c>
      <c r="N122" s="52" t="e">
        <f t="shared" si="85"/>
        <v>#DIV/0!</v>
      </c>
      <c r="O122" s="52" t="e">
        <f t="shared" si="85"/>
        <v>#DIV/0!</v>
      </c>
      <c r="P122" s="52"/>
      <c r="Q122" s="52"/>
      <c r="R122" s="52"/>
    </row>
    <row r="123" spans="1:18" s="37" customFormat="1">
      <c r="B123" s="51"/>
      <c r="C123" s="52"/>
      <c r="D123" s="52"/>
      <c r="E123" s="52"/>
      <c r="F123" s="52"/>
      <c r="G123" s="52"/>
      <c r="H123" s="52"/>
      <c r="I123" s="52"/>
      <c r="J123" s="52"/>
      <c r="K123" s="52"/>
      <c r="L123" s="52"/>
      <c r="M123" s="52"/>
      <c r="N123" s="52"/>
      <c r="O123" s="52"/>
      <c r="P123" s="52"/>
      <c r="Q123" s="52"/>
      <c r="R123" s="52"/>
    </row>
    <row r="124" spans="1:18" s="37" customFormat="1" ht="16">
      <c r="B124" s="51" t="s">
        <v>112</v>
      </c>
      <c r="C124" s="52"/>
      <c r="D124" s="52">
        <f>NPV(D114+3%,D127:D155,(D156+D122))-D120</f>
        <v>0</v>
      </c>
      <c r="E124" s="52" t="e">
        <f t="shared" ref="E124:N124" si="86">NPV(E114+3%,E127:E155,(E156+E122))-E120</f>
        <v>#DIV/0!</v>
      </c>
      <c r="F124" s="52" t="e">
        <f t="shared" si="86"/>
        <v>#DIV/0!</v>
      </c>
      <c r="G124" s="52" t="e">
        <f t="shared" si="86"/>
        <v>#DIV/0!</v>
      </c>
      <c r="H124" s="52" t="e">
        <f t="shared" si="86"/>
        <v>#DIV/0!</v>
      </c>
      <c r="I124" s="52" t="e">
        <f t="shared" si="86"/>
        <v>#DIV/0!</v>
      </c>
      <c r="J124" s="52" t="e">
        <f t="shared" si="86"/>
        <v>#DIV/0!</v>
      </c>
      <c r="K124" s="52" t="e">
        <f t="shared" si="86"/>
        <v>#DIV/0!</v>
      </c>
      <c r="L124" s="52" t="e">
        <f t="shared" si="86"/>
        <v>#DIV/0!</v>
      </c>
      <c r="M124" s="52" t="e">
        <f t="shared" si="86"/>
        <v>#DIV/0!</v>
      </c>
      <c r="N124" s="52" t="e">
        <f t="shared" si="86"/>
        <v>#DIV/0!</v>
      </c>
      <c r="O124" s="52" t="e">
        <f t="shared" ref="O124" si="87">NPV(O114+3%,O127:O155,(O156+O122))-O120</f>
        <v>#DIV/0!</v>
      </c>
      <c r="P124" s="52"/>
      <c r="Q124" s="52"/>
      <c r="R124" s="52"/>
    </row>
    <row r="125" spans="1:18" s="37" customFormat="1">
      <c r="B125" s="51"/>
      <c r="P125" s="52"/>
      <c r="Q125" s="52"/>
      <c r="R125" s="52"/>
    </row>
    <row r="126" spans="1:18" s="37" customFormat="1">
      <c r="B126" s="51">
        <v>0</v>
      </c>
      <c r="C126" s="52"/>
      <c r="D126" s="52"/>
      <c r="E126" s="52"/>
      <c r="F126" s="52"/>
      <c r="G126" s="52"/>
      <c r="H126" s="52"/>
      <c r="I126" s="52"/>
      <c r="J126" s="52"/>
      <c r="K126" s="52"/>
      <c r="L126" s="52"/>
      <c r="M126" s="52"/>
      <c r="N126" s="52"/>
      <c r="O126" s="52"/>
      <c r="P126" s="52"/>
      <c r="Q126" s="52"/>
      <c r="R126" s="52"/>
    </row>
    <row r="127" spans="1:18" s="37" customFormat="1">
      <c r="B127" s="51">
        <v>1</v>
      </c>
      <c r="C127" s="52"/>
      <c r="D127" s="52">
        <f t="shared" ref="D127:M127" si="88">D121*D113*E$3</f>
        <v>0</v>
      </c>
      <c r="E127" s="52" t="e">
        <f t="shared" si="88"/>
        <v>#DIV/0!</v>
      </c>
      <c r="F127" s="52" t="e">
        <f t="shared" si="88"/>
        <v>#DIV/0!</v>
      </c>
      <c r="G127" s="52" t="e">
        <f t="shared" si="88"/>
        <v>#DIV/0!</v>
      </c>
      <c r="H127" s="52" t="e">
        <f t="shared" si="88"/>
        <v>#DIV/0!</v>
      </c>
      <c r="I127" s="52" t="e">
        <f t="shared" si="88"/>
        <v>#DIV/0!</v>
      </c>
      <c r="J127" s="52" t="e">
        <f t="shared" si="88"/>
        <v>#DIV/0!</v>
      </c>
      <c r="K127" s="52" t="e">
        <f t="shared" si="88"/>
        <v>#DIV/0!</v>
      </c>
      <c r="L127" s="52" t="e">
        <f t="shared" si="88"/>
        <v>#DIV/0!</v>
      </c>
      <c r="M127" s="52" t="e">
        <f t="shared" si="88"/>
        <v>#DIV/0!</v>
      </c>
      <c r="N127" s="52" t="e">
        <f>N121*N113*Supuestos!Q$14</f>
        <v>#DIV/0!</v>
      </c>
      <c r="O127" s="52" t="e">
        <f>O121*O113*Supuestos!R$14</f>
        <v>#DIV/0!</v>
      </c>
      <c r="P127" s="52"/>
      <c r="Q127" s="52"/>
      <c r="R127" s="52"/>
    </row>
    <row r="128" spans="1:18" s="37" customFormat="1">
      <c r="B128" s="51">
        <v>2</v>
      </c>
      <c r="C128" s="52"/>
      <c r="D128" s="52">
        <f t="shared" ref="D128:L128" si="89">D121*D113*F$3</f>
        <v>0</v>
      </c>
      <c r="E128" s="52" t="e">
        <f t="shared" si="89"/>
        <v>#DIV/0!</v>
      </c>
      <c r="F128" s="52" t="e">
        <f t="shared" si="89"/>
        <v>#DIV/0!</v>
      </c>
      <c r="G128" s="52" t="e">
        <f t="shared" si="89"/>
        <v>#DIV/0!</v>
      </c>
      <c r="H128" s="52" t="e">
        <f t="shared" si="89"/>
        <v>#DIV/0!</v>
      </c>
      <c r="I128" s="52" t="e">
        <f t="shared" si="89"/>
        <v>#DIV/0!</v>
      </c>
      <c r="J128" s="52" t="e">
        <f t="shared" si="89"/>
        <v>#DIV/0!</v>
      </c>
      <c r="K128" s="52" t="e">
        <f t="shared" si="89"/>
        <v>#DIV/0!</v>
      </c>
      <c r="L128" s="52" t="e">
        <f t="shared" si="89"/>
        <v>#DIV/0!</v>
      </c>
      <c r="M128" s="52" t="e">
        <f>M121*M113*Supuestos!Q$14</f>
        <v>#DIV/0!</v>
      </c>
      <c r="N128" s="52" t="e">
        <f>N121*N113*Supuestos!R$14</f>
        <v>#DIV/0!</v>
      </c>
      <c r="O128" s="52" t="e">
        <f>O121*O113*Supuestos!S$14</f>
        <v>#DIV/0!</v>
      </c>
      <c r="P128" s="52"/>
      <c r="Q128" s="52"/>
      <c r="R128" s="52"/>
    </row>
    <row r="129" spans="2:18" s="37" customFormat="1">
      <c r="B129" s="51">
        <v>3</v>
      </c>
      <c r="C129" s="52"/>
      <c r="D129" s="52">
        <f t="shared" ref="D129:K129" si="90">D121*D113*G$3</f>
        <v>0</v>
      </c>
      <c r="E129" s="52" t="e">
        <f t="shared" si="90"/>
        <v>#DIV/0!</v>
      </c>
      <c r="F129" s="52" t="e">
        <f t="shared" si="90"/>
        <v>#DIV/0!</v>
      </c>
      <c r="G129" s="52" t="e">
        <f t="shared" si="90"/>
        <v>#DIV/0!</v>
      </c>
      <c r="H129" s="52" t="e">
        <f t="shared" si="90"/>
        <v>#DIV/0!</v>
      </c>
      <c r="I129" s="52" t="e">
        <f t="shared" si="90"/>
        <v>#DIV/0!</v>
      </c>
      <c r="J129" s="52" t="e">
        <f t="shared" si="90"/>
        <v>#DIV/0!</v>
      </c>
      <c r="K129" s="52" t="e">
        <f t="shared" si="90"/>
        <v>#DIV/0!</v>
      </c>
      <c r="L129" s="52" t="e">
        <f>L121*L113*Supuestos!Q$14</f>
        <v>#DIV/0!</v>
      </c>
      <c r="M129" s="52" t="e">
        <f>M121*M113*Supuestos!R$14</f>
        <v>#DIV/0!</v>
      </c>
      <c r="N129" s="52" t="e">
        <f>N121*N113*Supuestos!S$14</f>
        <v>#DIV/0!</v>
      </c>
      <c r="O129" s="52" t="e">
        <f>O121*O113*Supuestos!T$14</f>
        <v>#DIV/0!</v>
      </c>
      <c r="P129" s="52"/>
      <c r="Q129" s="52"/>
      <c r="R129" s="52"/>
    </row>
    <row r="130" spans="2:18" s="37" customFormat="1">
      <c r="B130" s="51">
        <v>4</v>
      </c>
      <c r="C130" s="52"/>
      <c r="D130" s="52">
        <f t="shared" ref="D130:J130" si="91">D121*D113*H$3</f>
        <v>0</v>
      </c>
      <c r="E130" s="52" t="e">
        <f t="shared" si="91"/>
        <v>#DIV/0!</v>
      </c>
      <c r="F130" s="52" t="e">
        <f t="shared" si="91"/>
        <v>#DIV/0!</v>
      </c>
      <c r="G130" s="52" t="e">
        <f t="shared" si="91"/>
        <v>#DIV/0!</v>
      </c>
      <c r="H130" s="52" t="e">
        <f t="shared" si="91"/>
        <v>#DIV/0!</v>
      </c>
      <c r="I130" s="52" t="e">
        <f t="shared" si="91"/>
        <v>#DIV/0!</v>
      </c>
      <c r="J130" s="52" t="e">
        <f t="shared" si="91"/>
        <v>#DIV/0!</v>
      </c>
      <c r="K130" s="52" t="e">
        <f>K121*K113*Supuestos!Q$14</f>
        <v>#DIV/0!</v>
      </c>
      <c r="L130" s="52" t="e">
        <f>L121*L113*Supuestos!R$14</f>
        <v>#DIV/0!</v>
      </c>
      <c r="M130" s="52" t="e">
        <f>M121*M113*Supuestos!S$14</f>
        <v>#DIV/0!</v>
      </c>
      <c r="N130" s="52" t="e">
        <f>N121*N113*Supuestos!T$14</f>
        <v>#DIV/0!</v>
      </c>
      <c r="O130" s="52" t="e">
        <f>O121*O113*Supuestos!U$14</f>
        <v>#DIV/0!</v>
      </c>
      <c r="P130" s="52"/>
      <c r="Q130" s="52"/>
      <c r="R130" s="52"/>
    </row>
    <row r="131" spans="2:18" s="37" customFormat="1">
      <c r="B131" s="51">
        <v>5</v>
      </c>
      <c r="C131" s="52"/>
      <c r="D131" s="52">
        <f t="shared" ref="D131:I131" si="92">D121*D113*I$3</f>
        <v>0</v>
      </c>
      <c r="E131" s="52" t="e">
        <f t="shared" si="92"/>
        <v>#DIV/0!</v>
      </c>
      <c r="F131" s="52" t="e">
        <f t="shared" si="92"/>
        <v>#DIV/0!</v>
      </c>
      <c r="G131" s="52" t="e">
        <f t="shared" si="92"/>
        <v>#DIV/0!</v>
      </c>
      <c r="H131" s="52" t="e">
        <f t="shared" si="92"/>
        <v>#DIV/0!</v>
      </c>
      <c r="I131" s="52" t="e">
        <f t="shared" si="92"/>
        <v>#DIV/0!</v>
      </c>
      <c r="J131" s="52" t="e">
        <f>J121*J113*Supuestos!Q$14</f>
        <v>#DIV/0!</v>
      </c>
      <c r="K131" s="52" t="e">
        <f>K121*K113*Supuestos!R$14</f>
        <v>#DIV/0!</v>
      </c>
      <c r="L131" s="52" t="e">
        <f>L121*L113*Supuestos!S$14</f>
        <v>#DIV/0!</v>
      </c>
      <c r="M131" s="52" t="e">
        <f>M121*M113*Supuestos!T$14</f>
        <v>#DIV/0!</v>
      </c>
      <c r="N131" s="52" t="e">
        <f>N121*N113*Supuestos!U$14</f>
        <v>#DIV/0!</v>
      </c>
      <c r="O131" s="52" t="e">
        <f>O121*O113*Supuestos!V$14</f>
        <v>#DIV/0!</v>
      </c>
      <c r="P131" s="52"/>
      <c r="Q131" s="52"/>
      <c r="R131" s="52"/>
    </row>
    <row r="132" spans="2:18" s="37" customFormat="1">
      <c r="B132" s="51">
        <v>6</v>
      </c>
      <c r="C132" s="52"/>
      <c r="D132" s="52">
        <f>D121*D113*J$3</f>
        <v>0</v>
      </c>
      <c r="E132" s="52" t="e">
        <f>E121*E113*K$3</f>
        <v>#DIV/0!</v>
      </c>
      <c r="F132" s="52" t="e">
        <f>F121*F113*L$3</f>
        <v>#DIV/0!</v>
      </c>
      <c r="G132" s="52" t="e">
        <f>G121*G113*M$3</f>
        <v>#DIV/0!</v>
      </c>
      <c r="H132" s="52" t="e">
        <f>H121*H113*N$3</f>
        <v>#DIV/0!</v>
      </c>
      <c r="I132" s="52" t="e">
        <f>I121*I113*Supuestos!Q$14</f>
        <v>#DIV/0!</v>
      </c>
      <c r="J132" s="52" t="e">
        <f>J121*J113*Supuestos!R$14</f>
        <v>#DIV/0!</v>
      </c>
      <c r="K132" s="52" t="e">
        <f>K121*K113*Supuestos!S$14</f>
        <v>#DIV/0!</v>
      </c>
      <c r="L132" s="52" t="e">
        <f>L121*L113*Supuestos!T$14</f>
        <v>#DIV/0!</v>
      </c>
      <c r="M132" s="52" t="e">
        <f>M121*M113*Supuestos!U$14</f>
        <v>#DIV/0!</v>
      </c>
      <c r="N132" s="52" t="e">
        <f>N121*N113*Supuestos!V$14</f>
        <v>#DIV/0!</v>
      </c>
      <c r="O132" s="52" t="e">
        <f>O121*O113*Supuestos!W$14</f>
        <v>#DIV/0!</v>
      </c>
      <c r="P132" s="52"/>
      <c r="Q132" s="52"/>
      <c r="R132" s="52"/>
    </row>
    <row r="133" spans="2:18" s="37" customFormat="1">
      <c r="B133" s="51">
        <v>7</v>
      </c>
      <c r="C133" s="52"/>
      <c r="D133" s="52">
        <f>D121*D113*K$3</f>
        <v>0</v>
      </c>
      <c r="E133" s="52" t="e">
        <f>E121*E113*L$3</f>
        <v>#DIV/0!</v>
      </c>
      <c r="F133" s="52" t="e">
        <f>F121*F113*M$3</f>
        <v>#DIV/0!</v>
      </c>
      <c r="G133" s="52" t="e">
        <f>G121*G113*N$3</f>
        <v>#DIV/0!</v>
      </c>
      <c r="H133" s="52" t="e">
        <f>H121*H113*Supuestos!Q$14</f>
        <v>#DIV/0!</v>
      </c>
      <c r="I133" s="52" t="e">
        <f>I121*I113*Supuestos!R$14</f>
        <v>#DIV/0!</v>
      </c>
      <c r="J133" s="52" t="e">
        <f>J121*J113*Supuestos!S$14</f>
        <v>#DIV/0!</v>
      </c>
      <c r="K133" s="52" t="e">
        <f>K121*K113*Supuestos!T$14</f>
        <v>#DIV/0!</v>
      </c>
      <c r="L133" s="52" t="e">
        <f>L121*L113*Supuestos!U$14</f>
        <v>#DIV/0!</v>
      </c>
      <c r="M133" s="52" t="e">
        <f>M121*M113*Supuestos!V$14</f>
        <v>#DIV/0!</v>
      </c>
      <c r="N133" s="52" t="e">
        <f>N121*N113*Supuestos!W$14</f>
        <v>#DIV/0!</v>
      </c>
      <c r="O133" s="52" t="e">
        <f>O121*O113*Supuestos!X$14</f>
        <v>#DIV/0!</v>
      </c>
      <c r="P133" s="52"/>
      <c r="Q133" s="52"/>
      <c r="R133" s="52"/>
    </row>
    <row r="134" spans="2:18" s="37" customFormat="1">
      <c r="B134" s="51">
        <v>8</v>
      </c>
      <c r="C134" s="52"/>
      <c r="D134" s="52">
        <f>D121*D113*L$3</f>
        <v>0</v>
      </c>
      <c r="E134" s="52" t="e">
        <f>E121*E113*M$3</f>
        <v>#DIV/0!</v>
      </c>
      <c r="F134" s="52" t="e">
        <f>F121*F113*N$3</f>
        <v>#DIV/0!</v>
      </c>
      <c r="G134" s="52" t="e">
        <f>G121*G113*Supuestos!Q$14</f>
        <v>#DIV/0!</v>
      </c>
      <c r="H134" s="52" t="e">
        <f>H121*H113*Supuestos!R$14</f>
        <v>#DIV/0!</v>
      </c>
      <c r="I134" s="52" t="e">
        <f>I121*I113*Supuestos!S$14</f>
        <v>#DIV/0!</v>
      </c>
      <c r="J134" s="52" t="e">
        <f>J121*J113*Supuestos!T$14</f>
        <v>#DIV/0!</v>
      </c>
      <c r="K134" s="52" t="e">
        <f>K121*K113*Supuestos!U$14</f>
        <v>#DIV/0!</v>
      </c>
      <c r="L134" s="52" t="e">
        <f>L121*L113*Supuestos!V$14</f>
        <v>#DIV/0!</v>
      </c>
      <c r="M134" s="52" t="e">
        <f>M121*M113*Supuestos!W$14</f>
        <v>#DIV/0!</v>
      </c>
      <c r="N134" s="52" t="e">
        <f>N121*N113*Supuestos!X$14</f>
        <v>#DIV/0!</v>
      </c>
      <c r="O134" s="52" t="e">
        <f>O121*O113*Supuestos!Y$14</f>
        <v>#DIV/0!</v>
      </c>
      <c r="P134" s="52"/>
      <c r="Q134" s="52"/>
      <c r="R134" s="52"/>
    </row>
    <row r="135" spans="2:18" s="37" customFormat="1">
      <c r="B135" s="51">
        <v>9</v>
      </c>
      <c r="C135" s="52"/>
      <c r="D135" s="52">
        <f>D121*D113*M$3</f>
        <v>0</v>
      </c>
      <c r="E135" s="52" t="e">
        <f>E121*E113*N$3</f>
        <v>#DIV/0!</v>
      </c>
      <c r="F135" s="52" t="e">
        <f>F121*F113*Supuestos!Q$14</f>
        <v>#DIV/0!</v>
      </c>
      <c r="G135" s="52" t="e">
        <f>G121*G113*Supuestos!R$14</f>
        <v>#DIV/0!</v>
      </c>
      <c r="H135" s="52" t="e">
        <f>H121*H113*Supuestos!S$14</f>
        <v>#DIV/0!</v>
      </c>
      <c r="I135" s="52" t="e">
        <f>I121*I113*Supuestos!T$14</f>
        <v>#DIV/0!</v>
      </c>
      <c r="J135" s="52" t="e">
        <f>J121*J113*Supuestos!U$14</f>
        <v>#DIV/0!</v>
      </c>
      <c r="K135" s="52" t="e">
        <f>K121*K113*Supuestos!V$14</f>
        <v>#DIV/0!</v>
      </c>
      <c r="L135" s="52" t="e">
        <f>L121*L113*Supuestos!W$14</f>
        <v>#DIV/0!</v>
      </c>
      <c r="M135" s="52" t="e">
        <f>M121*M113*Supuestos!X$14</f>
        <v>#DIV/0!</v>
      </c>
      <c r="N135" s="52" t="e">
        <f>N121*N113*Supuestos!Y$14</f>
        <v>#DIV/0!</v>
      </c>
      <c r="O135" s="52" t="e">
        <f>O121*O113*Supuestos!Z$14</f>
        <v>#DIV/0!</v>
      </c>
      <c r="P135" s="52"/>
      <c r="Q135" s="52"/>
      <c r="R135" s="52"/>
    </row>
    <row r="136" spans="2:18" s="37" customFormat="1">
      <c r="B136" s="51">
        <v>10</v>
      </c>
      <c r="C136" s="52"/>
      <c r="D136" s="52">
        <f>D121*D113*N$3</f>
        <v>0</v>
      </c>
      <c r="E136" s="52" t="e">
        <f>E121*E113*Supuestos!Q$14</f>
        <v>#DIV/0!</v>
      </c>
      <c r="F136" s="52" t="e">
        <f>F121*F113*Supuestos!R$14</f>
        <v>#DIV/0!</v>
      </c>
      <c r="G136" s="52" t="e">
        <f>G121*G113*Supuestos!S$14</f>
        <v>#DIV/0!</v>
      </c>
      <c r="H136" s="52" t="e">
        <f>H121*H113*Supuestos!T$14</f>
        <v>#DIV/0!</v>
      </c>
      <c r="I136" s="52" t="e">
        <f>I121*I113*Supuestos!U$14</f>
        <v>#DIV/0!</v>
      </c>
      <c r="J136" s="52" t="e">
        <f>J121*J113*Supuestos!V$14</f>
        <v>#DIV/0!</v>
      </c>
      <c r="K136" s="52" t="e">
        <f>K121*K113*Supuestos!W$14</f>
        <v>#DIV/0!</v>
      </c>
      <c r="L136" s="52" t="e">
        <f>L121*L113*Supuestos!X$14</f>
        <v>#DIV/0!</v>
      </c>
      <c r="M136" s="52" t="e">
        <f>M121*M113*Supuestos!Y$14</f>
        <v>#DIV/0!</v>
      </c>
      <c r="N136" s="52" t="e">
        <f>N121*N113*Supuestos!Z$14</f>
        <v>#DIV/0!</v>
      </c>
      <c r="O136" s="52" t="e">
        <f>O121*O113*Supuestos!AA$14</f>
        <v>#DIV/0!</v>
      </c>
      <c r="P136" s="52"/>
      <c r="Q136" s="52"/>
      <c r="R136" s="52"/>
    </row>
    <row r="137" spans="2:18" s="37" customFormat="1">
      <c r="B137" s="51">
        <v>11</v>
      </c>
      <c r="C137" s="52"/>
      <c r="D137" s="52">
        <f>D121*D113*Supuestos!Q$14</f>
        <v>0</v>
      </c>
      <c r="E137" s="52" t="e">
        <f>E121*E113*Supuestos!R$14</f>
        <v>#DIV/0!</v>
      </c>
      <c r="F137" s="52" t="e">
        <f>F121*F113*Supuestos!S$14</f>
        <v>#DIV/0!</v>
      </c>
      <c r="G137" s="52" t="e">
        <f>G121*G113*Supuestos!T$14</f>
        <v>#DIV/0!</v>
      </c>
      <c r="H137" s="52" t="e">
        <f>H121*H113*Supuestos!U$14</f>
        <v>#DIV/0!</v>
      </c>
      <c r="I137" s="52" t="e">
        <f>I121*I113*Supuestos!V$14</f>
        <v>#DIV/0!</v>
      </c>
      <c r="J137" s="52" t="e">
        <f>J121*J113*Supuestos!W$14</f>
        <v>#DIV/0!</v>
      </c>
      <c r="K137" s="52" t="e">
        <f>K121*K113*Supuestos!X$14</f>
        <v>#DIV/0!</v>
      </c>
      <c r="L137" s="52" t="e">
        <f>L121*L113*Supuestos!Y$14</f>
        <v>#DIV/0!</v>
      </c>
      <c r="M137" s="52" t="e">
        <f>M121*M113*Supuestos!Z$14</f>
        <v>#DIV/0!</v>
      </c>
      <c r="N137" s="52" t="e">
        <f>N121*N113*Supuestos!AA$14</f>
        <v>#DIV/0!</v>
      </c>
      <c r="O137" s="52" t="e">
        <f>O121*O113*Supuestos!AB$14</f>
        <v>#DIV/0!</v>
      </c>
      <c r="P137" s="52"/>
      <c r="Q137" s="52"/>
      <c r="R137" s="52"/>
    </row>
    <row r="138" spans="2:18" s="37" customFormat="1">
      <c r="B138" s="51">
        <v>12</v>
      </c>
      <c r="C138" s="52"/>
      <c r="D138" s="52">
        <f>D121*D113*Supuestos!R$14</f>
        <v>0</v>
      </c>
      <c r="E138" s="52" t="e">
        <f>E121*E113*Supuestos!S$14</f>
        <v>#DIV/0!</v>
      </c>
      <c r="F138" s="52" t="e">
        <f>F121*F113*Supuestos!T$14</f>
        <v>#DIV/0!</v>
      </c>
      <c r="G138" s="52" t="e">
        <f>G121*G113*Supuestos!U$14</f>
        <v>#DIV/0!</v>
      </c>
      <c r="H138" s="52" t="e">
        <f>H121*H113*Supuestos!V$14</f>
        <v>#DIV/0!</v>
      </c>
      <c r="I138" s="52" t="e">
        <f>I121*I113*Supuestos!W$14</f>
        <v>#DIV/0!</v>
      </c>
      <c r="J138" s="52" t="e">
        <f>J121*J113*Supuestos!X$14</f>
        <v>#DIV/0!</v>
      </c>
      <c r="K138" s="52" t="e">
        <f>K121*K113*Supuestos!Y$14</f>
        <v>#DIV/0!</v>
      </c>
      <c r="L138" s="52" t="e">
        <f>L121*L113*Supuestos!Z$14</f>
        <v>#DIV/0!</v>
      </c>
      <c r="M138" s="52" t="e">
        <f>M121*M113*Supuestos!AA$14</f>
        <v>#DIV/0!</v>
      </c>
      <c r="N138" s="52" t="e">
        <f>N121*N113*Supuestos!AB$14</f>
        <v>#DIV/0!</v>
      </c>
      <c r="O138" s="52" t="e">
        <f>O121*O113*Supuestos!AC$14</f>
        <v>#DIV/0!</v>
      </c>
      <c r="P138" s="52"/>
      <c r="Q138" s="52"/>
      <c r="R138" s="52"/>
    </row>
    <row r="139" spans="2:18" s="37" customFormat="1">
      <c r="B139" s="51">
        <v>13</v>
      </c>
      <c r="C139" s="52"/>
      <c r="D139" s="52">
        <f>D121*D113*Supuestos!S$14</f>
        <v>0</v>
      </c>
      <c r="E139" s="52" t="e">
        <f>E121*E113*Supuestos!T$14</f>
        <v>#DIV/0!</v>
      </c>
      <c r="F139" s="52" t="e">
        <f>F121*F113*Supuestos!U$14</f>
        <v>#DIV/0!</v>
      </c>
      <c r="G139" s="52" t="e">
        <f>G121*G113*Supuestos!V$14</f>
        <v>#DIV/0!</v>
      </c>
      <c r="H139" s="52" t="e">
        <f>H121*H113*Supuestos!W$14</f>
        <v>#DIV/0!</v>
      </c>
      <c r="I139" s="52" t="e">
        <f>I121*I113*Supuestos!X$14</f>
        <v>#DIV/0!</v>
      </c>
      <c r="J139" s="52" t="e">
        <f>J121*J113*Supuestos!Y$14</f>
        <v>#DIV/0!</v>
      </c>
      <c r="K139" s="52" t="e">
        <f>K121*K113*Supuestos!Z$14</f>
        <v>#DIV/0!</v>
      </c>
      <c r="L139" s="52" t="e">
        <f>L121*L113*Supuestos!AA$14</f>
        <v>#DIV/0!</v>
      </c>
      <c r="M139" s="52" t="e">
        <f>M121*M113*Supuestos!AB$14</f>
        <v>#DIV/0!</v>
      </c>
      <c r="N139" s="52" t="e">
        <f>N121*N113*Supuestos!AC$14</f>
        <v>#DIV/0!</v>
      </c>
      <c r="O139" s="52" t="e">
        <f>O121*O113*Supuestos!AD$14</f>
        <v>#DIV/0!</v>
      </c>
      <c r="P139" s="52"/>
      <c r="Q139" s="52"/>
      <c r="R139" s="52"/>
    </row>
    <row r="140" spans="2:18" s="37" customFormat="1">
      <c r="B140" s="51">
        <v>14</v>
      </c>
      <c r="C140" s="52"/>
      <c r="D140" s="52">
        <f>D121*D113*Supuestos!T$14</f>
        <v>0</v>
      </c>
      <c r="E140" s="52" t="e">
        <f>E121*E113*Supuestos!U$14</f>
        <v>#DIV/0!</v>
      </c>
      <c r="F140" s="52" t="e">
        <f>F121*F113*Supuestos!V$14</f>
        <v>#DIV/0!</v>
      </c>
      <c r="G140" s="52" t="e">
        <f>G121*G113*Supuestos!W$14</f>
        <v>#DIV/0!</v>
      </c>
      <c r="H140" s="52" t="e">
        <f>H121*H113*Supuestos!X$14</f>
        <v>#DIV/0!</v>
      </c>
      <c r="I140" s="52" t="e">
        <f>I121*I113*Supuestos!Y$14</f>
        <v>#DIV/0!</v>
      </c>
      <c r="J140" s="52" t="e">
        <f>J121*J113*Supuestos!Z$14</f>
        <v>#DIV/0!</v>
      </c>
      <c r="K140" s="52" t="e">
        <f>K121*K113*Supuestos!AA$14</f>
        <v>#DIV/0!</v>
      </c>
      <c r="L140" s="52" t="e">
        <f>L121*L113*Supuestos!AB$14</f>
        <v>#DIV/0!</v>
      </c>
      <c r="M140" s="52" t="e">
        <f>M121*M113*Supuestos!AC$14</f>
        <v>#DIV/0!</v>
      </c>
      <c r="N140" s="52" t="e">
        <f>N121*N113*Supuestos!AD$14</f>
        <v>#DIV/0!</v>
      </c>
      <c r="O140" s="52" t="e">
        <f>O121*O113*Supuestos!AE$14</f>
        <v>#DIV/0!</v>
      </c>
      <c r="P140" s="52"/>
      <c r="Q140" s="52"/>
      <c r="R140" s="52"/>
    </row>
    <row r="141" spans="2:18" s="37" customFormat="1">
      <c r="B141" s="51">
        <v>15</v>
      </c>
      <c r="C141" s="52"/>
      <c r="D141" s="52">
        <f>D121*D113*Supuestos!U$14</f>
        <v>0</v>
      </c>
      <c r="E141" s="52" t="e">
        <f>E121*E113*Supuestos!V$14</f>
        <v>#DIV/0!</v>
      </c>
      <c r="F141" s="52" t="e">
        <f>F121*F113*Supuestos!W$14</f>
        <v>#DIV/0!</v>
      </c>
      <c r="G141" s="52" t="e">
        <f>G121*G113*Supuestos!X$14</f>
        <v>#DIV/0!</v>
      </c>
      <c r="H141" s="52" t="e">
        <f>H121*H113*Supuestos!Y$14</f>
        <v>#DIV/0!</v>
      </c>
      <c r="I141" s="52" t="e">
        <f>I121*I113*Supuestos!Z$14</f>
        <v>#DIV/0!</v>
      </c>
      <c r="J141" s="52" t="e">
        <f>J121*J113*Supuestos!AA$14</f>
        <v>#DIV/0!</v>
      </c>
      <c r="K141" s="52" t="e">
        <f>K121*K113*Supuestos!AB$14</f>
        <v>#DIV/0!</v>
      </c>
      <c r="L141" s="52" t="e">
        <f>L121*L113*Supuestos!AC$14</f>
        <v>#DIV/0!</v>
      </c>
      <c r="M141" s="52" t="e">
        <f>M121*M113*Supuestos!AD$14</f>
        <v>#DIV/0!</v>
      </c>
      <c r="N141" s="52" t="e">
        <f>N121*N113*Supuestos!AE$14</f>
        <v>#DIV/0!</v>
      </c>
      <c r="O141" s="52" t="e">
        <f>O121*O113*Supuestos!AF$14</f>
        <v>#DIV/0!</v>
      </c>
      <c r="P141" s="52"/>
      <c r="Q141" s="52"/>
      <c r="R141" s="52"/>
    </row>
    <row r="142" spans="2:18" s="37" customFormat="1">
      <c r="B142" s="51">
        <v>16</v>
      </c>
      <c r="C142" s="52"/>
      <c r="D142" s="52">
        <f>D121*D113*Supuestos!V$14</f>
        <v>0</v>
      </c>
      <c r="E142" s="52" t="e">
        <f>E121*E113*Supuestos!W$14</f>
        <v>#DIV/0!</v>
      </c>
      <c r="F142" s="52" t="e">
        <f>F121*F113*Supuestos!X$14</f>
        <v>#DIV/0!</v>
      </c>
      <c r="G142" s="52" t="e">
        <f>G121*G113*Supuestos!Y$14</f>
        <v>#DIV/0!</v>
      </c>
      <c r="H142" s="52" t="e">
        <f>H121*H113*Supuestos!Z$14</f>
        <v>#DIV/0!</v>
      </c>
      <c r="I142" s="52" t="e">
        <f>I121*I113*Supuestos!AA$14</f>
        <v>#DIV/0!</v>
      </c>
      <c r="J142" s="52" t="e">
        <f>J121*J113*Supuestos!AB$14</f>
        <v>#DIV/0!</v>
      </c>
      <c r="K142" s="52" t="e">
        <f>K121*K113*Supuestos!AC$14</f>
        <v>#DIV/0!</v>
      </c>
      <c r="L142" s="52" t="e">
        <f>L121*L113*Supuestos!AD$14</f>
        <v>#DIV/0!</v>
      </c>
      <c r="M142" s="52" t="e">
        <f>M121*M113*Supuestos!AE$14</f>
        <v>#DIV/0!</v>
      </c>
      <c r="N142" s="52" t="e">
        <f>N121*N113*Supuestos!AF$14</f>
        <v>#DIV/0!</v>
      </c>
      <c r="O142" s="52" t="e">
        <f>O121*O113*Supuestos!AG$14</f>
        <v>#DIV/0!</v>
      </c>
      <c r="P142" s="52"/>
      <c r="Q142" s="52"/>
      <c r="R142" s="52"/>
    </row>
    <row r="143" spans="2:18" s="37" customFormat="1">
      <c r="B143" s="51">
        <v>17</v>
      </c>
      <c r="C143" s="52"/>
      <c r="D143" s="52">
        <f>D121*D113*Supuestos!W$14</f>
        <v>0</v>
      </c>
      <c r="E143" s="52" t="e">
        <f>E121*E113*Supuestos!X$14</f>
        <v>#DIV/0!</v>
      </c>
      <c r="F143" s="52" t="e">
        <f>F121*F113*Supuestos!Y$14</f>
        <v>#DIV/0!</v>
      </c>
      <c r="G143" s="52" t="e">
        <f>G121*G113*Supuestos!Z$14</f>
        <v>#DIV/0!</v>
      </c>
      <c r="H143" s="52" t="e">
        <f>H121*H113*Supuestos!AA$14</f>
        <v>#DIV/0!</v>
      </c>
      <c r="I143" s="52" t="e">
        <f>I121*I113*Supuestos!AB$14</f>
        <v>#DIV/0!</v>
      </c>
      <c r="J143" s="52" t="e">
        <f>J121*J113*Supuestos!AC$14</f>
        <v>#DIV/0!</v>
      </c>
      <c r="K143" s="52" t="e">
        <f>K121*K113*Supuestos!AD$14</f>
        <v>#DIV/0!</v>
      </c>
      <c r="L143" s="52" t="e">
        <f>L121*L113*Supuestos!AE$14</f>
        <v>#DIV/0!</v>
      </c>
      <c r="M143" s="52" t="e">
        <f>M121*M113*Supuestos!AF$14</f>
        <v>#DIV/0!</v>
      </c>
      <c r="N143" s="52" t="e">
        <f>N121*N113*Supuestos!AG$14</f>
        <v>#DIV/0!</v>
      </c>
      <c r="O143" s="52" t="e">
        <f>O121*O113*Supuestos!AH$14</f>
        <v>#DIV/0!</v>
      </c>
      <c r="P143" s="52"/>
      <c r="Q143" s="52"/>
      <c r="R143" s="52"/>
    </row>
    <row r="144" spans="2:18" s="37" customFormat="1">
      <c r="B144" s="51">
        <v>18</v>
      </c>
      <c r="C144" s="52"/>
      <c r="D144" s="52">
        <f>D121*D113*Supuestos!X$14</f>
        <v>0</v>
      </c>
      <c r="E144" s="52" t="e">
        <f>E121*E113*Supuestos!Y$14</f>
        <v>#DIV/0!</v>
      </c>
      <c r="F144" s="52" t="e">
        <f>F121*F113*Supuestos!Z$14</f>
        <v>#DIV/0!</v>
      </c>
      <c r="G144" s="52" t="e">
        <f>G121*G113*Supuestos!AA$14</f>
        <v>#DIV/0!</v>
      </c>
      <c r="H144" s="52" t="e">
        <f>H121*H113*Supuestos!AB$14</f>
        <v>#DIV/0!</v>
      </c>
      <c r="I144" s="52" t="e">
        <f>I121*I113*Supuestos!AC$14</f>
        <v>#DIV/0!</v>
      </c>
      <c r="J144" s="52" t="e">
        <f>J121*J113*Supuestos!AD$14</f>
        <v>#DIV/0!</v>
      </c>
      <c r="K144" s="52" t="e">
        <f>K121*K113*Supuestos!AE$14</f>
        <v>#DIV/0!</v>
      </c>
      <c r="L144" s="52" t="e">
        <f>L121*L113*Supuestos!AF$14</f>
        <v>#DIV/0!</v>
      </c>
      <c r="M144" s="52" t="e">
        <f>M121*M113*Supuestos!AG$14</f>
        <v>#DIV/0!</v>
      </c>
      <c r="N144" s="52" t="e">
        <f>N121*N113*Supuestos!AH$14</f>
        <v>#DIV/0!</v>
      </c>
      <c r="O144" s="52" t="e">
        <f>O121*O113*Supuestos!AI$14</f>
        <v>#DIV/0!</v>
      </c>
      <c r="P144" s="52"/>
      <c r="Q144" s="52"/>
      <c r="R144" s="52"/>
    </row>
    <row r="145" spans="1:47" s="37" customFormat="1">
      <c r="B145" s="51">
        <v>19</v>
      </c>
      <c r="C145" s="52"/>
      <c r="D145" s="52">
        <f>D121*D113*Supuestos!Y$14</f>
        <v>0</v>
      </c>
      <c r="E145" s="52" t="e">
        <f>E121*E113*Supuestos!Z$14</f>
        <v>#DIV/0!</v>
      </c>
      <c r="F145" s="52" t="e">
        <f>F121*F113*Supuestos!AA$14</f>
        <v>#DIV/0!</v>
      </c>
      <c r="G145" s="52" t="e">
        <f>G121*G113*Supuestos!AB$14</f>
        <v>#DIV/0!</v>
      </c>
      <c r="H145" s="52" t="e">
        <f>H121*H113*Supuestos!AC$14</f>
        <v>#DIV/0!</v>
      </c>
      <c r="I145" s="52" t="e">
        <f>I121*I113*Supuestos!AD$14</f>
        <v>#DIV/0!</v>
      </c>
      <c r="J145" s="52" t="e">
        <f>J121*J113*Supuestos!AE$14</f>
        <v>#DIV/0!</v>
      </c>
      <c r="K145" s="52" t="e">
        <f>K121*K113*Supuestos!AF$14</f>
        <v>#DIV/0!</v>
      </c>
      <c r="L145" s="52" t="e">
        <f>L121*L113*Supuestos!AG$14</f>
        <v>#DIV/0!</v>
      </c>
      <c r="M145" s="52" t="e">
        <f>M121*M113*Supuestos!AH$14</f>
        <v>#DIV/0!</v>
      </c>
      <c r="N145" s="52" t="e">
        <f>N121*N113*Supuestos!AI$14</f>
        <v>#DIV/0!</v>
      </c>
      <c r="O145" s="52" t="e">
        <f>O121*O113*Supuestos!AJ$14</f>
        <v>#DIV/0!</v>
      </c>
      <c r="P145" s="52"/>
      <c r="Q145" s="52"/>
      <c r="R145" s="52"/>
    </row>
    <row r="146" spans="1:47" s="37" customFormat="1">
      <c r="B146" s="51">
        <v>20</v>
      </c>
      <c r="C146" s="52"/>
      <c r="D146" s="52">
        <f>D121*D113*Supuestos!Z$14</f>
        <v>0</v>
      </c>
      <c r="E146" s="52" t="e">
        <f>E121*E113*Supuestos!AA$14</f>
        <v>#DIV/0!</v>
      </c>
      <c r="F146" s="52" t="e">
        <f>F121*F113*Supuestos!AB$14</f>
        <v>#DIV/0!</v>
      </c>
      <c r="G146" s="52" t="e">
        <f>G121*G113*Supuestos!AC$14</f>
        <v>#DIV/0!</v>
      </c>
      <c r="H146" s="52" t="e">
        <f>H121*H113*Supuestos!AD$14</f>
        <v>#DIV/0!</v>
      </c>
      <c r="I146" s="52" t="e">
        <f>I121*I113*Supuestos!AE$14</f>
        <v>#DIV/0!</v>
      </c>
      <c r="J146" s="52" t="e">
        <f>J121*J113*Supuestos!AF$14</f>
        <v>#DIV/0!</v>
      </c>
      <c r="K146" s="52" t="e">
        <f>K121*K113*Supuestos!AG$14</f>
        <v>#DIV/0!</v>
      </c>
      <c r="L146" s="52" t="e">
        <f>L121*L113*Supuestos!AH$14</f>
        <v>#DIV/0!</v>
      </c>
      <c r="M146" s="52" t="e">
        <f>M121*M113*Supuestos!AI$14</f>
        <v>#DIV/0!</v>
      </c>
      <c r="N146" s="52" t="e">
        <f>N121*N113*Supuestos!AJ$14</f>
        <v>#DIV/0!</v>
      </c>
      <c r="O146" s="52" t="e">
        <f>O121*O113*Supuestos!AK$14</f>
        <v>#DIV/0!</v>
      </c>
      <c r="P146" s="52"/>
      <c r="Q146" s="52"/>
      <c r="R146" s="52"/>
    </row>
    <row r="147" spans="1:47" s="37" customFormat="1">
      <c r="B147" s="51">
        <v>21</v>
      </c>
      <c r="C147" s="52"/>
      <c r="D147" s="52">
        <f>D121*D113*Supuestos!AA$14</f>
        <v>0</v>
      </c>
      <c r="E147" s="52" t="e">
        <f>E121*E113*Supuestos!AB$14</f>
        <v>#DIV/0!</v>
      </c>
      <c r="F147" s="52" t="e">
        <f>F121*F113*Supuestos!AC$14</f>
        <v>#DIV/0!</v>
      </c>
      <c r="G147" s="52" t="e">
        <f>G121*G113*Supuestos!AD$14</f>
        <v>#DIV/0!</v>
      </c>
      <c r="H147" s="52" t="e">
        <f>H121*H113*Supuestos!AE$14</f>
        <v>#DIV/0!</v>
      </c>
      <c r="I147" s="52" t="e">
        <f>I121*I113*Supuestos!AF$14</f>
        <v>#DIV/0!</v>
      </c>
      <c r="J147" s="52" t="e">
        <f>J121*J113*Supuestos!AG$14</f>
        <v>#DIV/0!</v>
      </c>
      <c r="K147" s="52" t="e">
        <f>K121*K113*Supuestos!AH$14</f>
        <v>#DIV/0!</v>
      </c>
      <c r="L147" s="52" t="e">
        <f>L121*L113*Supuestos!AI$14</f>
        <v>#DIV/0!</v>
      </c>
      <c r="M147" s="52" t="e">
        <f>M121*M113*Supuestos!AJ$14</f>
        <v>#DIV/0!</v>
      </c>
      <c r="N147" s="52" t="e">
        <f>N121*N113*Supuestos!AK$14</f>
        <v>#DIV/0!</v>
      </c>
      <c r="O147" s="52" t="e">
        <f>O121*O113*Supuestos!AL$14</f>
        <v>#DIV/0!</v>
      </c>
      <c r="P147" s="52"/>
      <c r="Q147" s="52"/>
      <c r="R147" s="52"/>
    </row>
    <row r="148" spans="1:47" s="37" customFormat="1">
      <c r="B148" s="51">
        <v>22</v>
      </c>
      <c r="C148" s="52"/>
      <c r="D148" s="52">
        <f>D121*D113*Supuestos!AB$14</f>
        <v>0</v>
      </c>
      <c r="E148" s="52" t="e">
        <f>E121*E113*Supuestos!AC$14</f>
        <v>#DIV/0!</v>
      </c>
      <c r="F148" s="52" t="e">
        <f>F121*F113*Supuestos!AD$14</f>
        <v>#DIV/0!</v>
      </c>
      <c r="G148" s="52" t="e">
        <f>G121*G113*Supuestos!AE$14</f>
        <v>#DIV/0!</v>
      </c>
      <c r="H148" s="52" t="e">
        <f>H121*H113*Supuestos!AF$14</f>
        <v>#DIV/0!</v>
      </c>
      <c r="I148" s="52" t="e">
        <f>I121*I113*Supuestos!AG$14</f>
        <v>#DIV/0!</v>
      </c>
      <c r="J148" s="52" t="e">
        <f>J121*J113*Supuestos!AH$14</f>
        <v>#DIV/0!</v>
      </c>
      <c r="K148" s="52" t="e">
        <f>K121*K113*Supuestos!AI$14</f>
        <v>#DIV/0!</v>
      </c>
      <c r="L148" s="52" t="e">
        <f>L121*L113*Supuestos!AJ$14</f>
        <v>#DIV/0!</v>
      </c>
      <c r="M148" s="52" t="e">
        <f>M121*M113*Supuestos!AK$14</f>
        <v>#DIV/0!</v>
      </c>
      <c r="N148" s="52" t="e">
        <f>N121*N113*Supuestos!AL$14</f>
        <v>#DIV/0!</v>
      </c>
      <c r="O148" s="52" t="e">
        <f>O121*O113*Supuestos!AM$14</f>
        <v>#DIV/0!</v>
      </c>
      <c r="P148" s="52"/>
      <c r="Q148" s="52"/>
      <c r="R148" s="52"/>
    </row>
    <row r="149" spans="1:47" s="37" customFormat="1">
      <c r="B149" s="51">
        <v>23</v>
      </c>
      <c r="C149" s="52"/>
      <c r="D149" s="52">
        <f>D121*D113*Supuestos!AC$14</f>
        <v>0</v>
      </c>
      <c r="E149" s="52" t="e">
        <f>E121*E113*Supuestos!AD$14</f>
        <v>#DIV/0!</v>
      </c>
      <c r="F149" s="52" t="e">
        <f>F121*F113*Supuestos!AE$14</f>
        <v>#DIV/0!</v>
      </c>
      <c r="G149" s="52" t="e">
        <f>G121*G113*Supuestos!AF$14</f>
        <v>#DIV/0!</v>
      </c>
      <c r="H149" s="52" t="e">
        <f>H121*H113*Supuestos!AG$14</f>
        <v>#DIV/0!</v>
      </c>
      <c r="I149" s="52" t="e">
        <f>I121*I113*Supuestos!AH$14</f>
        <v>#DIV/0!</v>
      </c>
      <c r="J149" s="52" t="e">
        <f>J121*J113*Supuestos!AI$14</f>
        <v>#DIV/0!</v>
      </c>
      <c r="K149" s="52" t="e">
        <f>K121*K113*Supuestos!AJ$14</f>
        <v>#DIV/0!</v>
      </c>
      <c r="L149" s="52" t="e">
        <f>L121*L113*Supuestos!AK$14</f>
        <v>#DIV/0!</v>
      </c>
      <c r="M149" s="52" t="e">
        <f>M121*M113*Supuestos!AL$14</f>
        <v>#DIV/0!</v>
      </c>
      <c r="N149" s="52" t="e">
        <f>N121*N113*Supuestos!AM$14</f>
        <v>#DIV/0!</v>
      </c>
      <c r="O149" s="52" t="e">
        <f>O121*O113*Supuestos!AN$14</f>
        <v>#DIV/0!</v>
      </c>
      <c r="P149" s="52"/>
      <c r="Q149" s="52"/>
      <c r="R149" s="52"/>
    </row>
    <row r="150" spans="1:47">
      <c r="A150" s="37"/>
      <c r="B150" s="51">
        <v>24</v>
      </c>
      <c r="C150" s="52"/>
      <c r="D150" s="52">
        <f>D121*D113*Supuestos!AD$14</f>
        <v>0</v>
      </c>
      <c r="E150" s="52" t="e">
        <f>E121*E113*Supuestos!AE$14</f>
        <v>#DIV/0!</v>
      </c>
      <c r="F150" s="52" t="e">
        <f>F121*F113*Supuestos!AF$14</f>
        <v>#DIV/0!</v>
      </c>
      <c r="G150" s="52" t="e">
        <f>G121*G113*Supuestos!AG$14</f>
        <v>#DIV/0!</v>
      </c>
      <c r="H150" s="52" t="e">
        <f>H121*H113*Supuestos!AH$14</f>
        <v>#DIV/0!</v>
      </c>
      <c r="I150" s="52" t="e">
        <f>I121*I113*Supuestos!AI$14</f>
        <v>#DIV/0!</v>
      </c>
      <c r="J150" s="52" t="e">
        <f>J121*J113*Supuestos!AJ$14</f>
        <v>#DIV/0!</v>
      </c>
      <c r="K150" s="52" t="e">
        <f>K121*K113*Supuestos!AK$14</f>
        <v>#DIV/0!</v>
      </c>
      <c r="L150" s="52" t="e">
        <f>L121*L113*Supuestos!AL$14</f>
        <v>#DIV/0!</v>
      </c>
      <c r="M150" s="52" t="e">
        <f>M121*M113*Supuestos!AM$14</f>
        <v>#DIV/0!</v>
      </c>
      <c r="N150" s="52" t="e">
        <f>N121*N113*Supuestos!AN$14</f>
        <v>#DIV/0!</v>
      </c>
      <c r="O150" s="52" t="e">
        <f>O121*O113*Supuestos!AO$14</f>
        <v>#DIV/0!</v>
      </c>
      <c r="P150" s="52"/>
      <c r="Q150" s="52"/>
      <c r="R150" s="52"/>
      <c r="S150" s="37"/>
      <c r="T150" s="37"/>
      <c r="U150" s="37"/>
      <c r="V150" s="37"/>
      <c r="W150" s="37"/>
      <c r="X150" s="37"/>
      <c r="Y150" s="37"/>
      <c r="Z150" s="37"/>
      <c r="AA150" s="37"/>
      <c r="AB150" s="37"/>
      <c r="AC150" s="37"/>
      <c r="AD150" s="37"/>
      <c r="AE150" s="37"/>
      <c r="AF150" s="37"/>
      <c r="AG150" s="37"/>
      <c r="AH150" s="37"/>
      <c r="AI150" s="37"/>
      <c r="AJ150" s="37"/>
      <c r="AK150" s="37"/>
      <c r="AL150" s="37"/>
      <c r="AM150" s="37"/>
      <c r="AN150" s="37"/>
      <c r="AO150" s="37"/>
      <c r="AP150" s="37"/>
      <c r="AQ150" s="37"/>
      <c r="AR150" s="37"/>
      <c r="AS150" s="37"/>
      <c r="AT150" s="37"/>
      <c r="AU150" s="37"/>
    </row>
    <row r="151" spans="1:47">
      <c r="A151" s="37"/>
      <c r="B151" s="51">
        <v>25</v>
      </c>
      <c r="C151" s="52"/>
      <c r="D151" s="52">
        <f>D121*D113*Supuestos!AE$14</f>
        <v>0</v>
      </c>
      <c r="E151" s="52" t="e">
        <f>E121*E113*Supuestos!AF$14</f>
        <v>#DIV/0!</v>
      </c>
      <c r="F151" s="52" t="e">
        <f>F121*F113*Supuestos!AG$14</f>
        <v>#DIV/0!</v>
      </c>
      <c r="G151" s="52" t="e">
        <f>G121*G113*Supuestos!AH$14</f>
        <v>#DIV/0!</v>
      </c>
      <c r="H151" s="52" t="e">
        <f>H121*H113*Supuestos!AI$14</f>
        <v>#DIV/0!</v>
      </c>
      <c r="I151" s="52" t="e">
        <f>I121*I113*Supuestos!AJ$14</f>
        <v>#DIV/0!</v>
      </c>
      <c r="J151" s="52" t="e">
        <f>J121*J113*Supuestos!AK$14</f>
        <v>#DIV/0!</v>
      </c>
      <c r="K151" s="52" t="e">
        <f>K121*K113*Supuestos!AL$14</f>
        <v>#DIV/0!</v>
      </c>
      <c r="L151" s="52" t="e">
        <f>L121*L113*Supuestos!AM$14</f>
        <v>#DIV/0!</v>
      </c>
      <c r="M151" s="52" t="e">
        <f>M121*M113*Supuestos!AN$14</f>
        <v>#DIV/0!</v>
      </c>
      <c r="N151" s="52" t="e">
        <f>N121*N113*Supuestos!AO$14</f>
        <v>#DIV/0!</v>
      </c>
      <c r="O151" s="52" t="e">
        <f>O121*O113*Supuestos!AP$14</f>
        <v>#DIV/0!</v>
      </c>
      <c r="P151" s="52"/>
      <c r="Q151" s="52"/>
      <c r="R151" s="52"/>
      <c r="S151" s="37"/>
      <c r="T151" s="37"/>
      <c r="U151" s="37"/>
      <c r="V151" s="37"/>
      <c r="W151" s="37"/>
      <c r="X151" s="37"/>
      <c r="Y151" s="37"/>
      <c r="Z151" s="37"/>
      <c r="AA151" s="37"/>
      <c r="AB151" s="37"/>
      <c r="AC151" s="37"/>
      <c r="AD151" s="37"/>
      <c r="AE151" s="37"/>
      <c r="AF151" s="37"/>
      <c r="AG151" s="37"/>
      <c r="AH151" s="37"/>
      <c r="AI151" s="37"/>
      <c r="AJ151" s="37"/>
      <c r="AK151" s="37"/>
      <c r="AL151" s="37"/>
      <c r="AM151" s="37"/>
      <c r="AN151" s="37"/>
      <c r="AO151" s="37"/>
      <c r="AP151" s="37"/>
      <c r="AQ151" s="37"/>
      <c r="AR151" s="37"/>
      <c r="AS151" s="37"/>
      <c r="AT151" s="37"/>
      <c r="AU151" s="37"/>
    </row>
    <row r="152" spans="1:47" s="37" customFormat="1">
      <c r="B152" s="51">
        <v>26</v>
      </c>
      <c r="C152" s="52"/>
      <c r="D152" s="52">
        <f>D121*D113*Supuestos!AF$14</f>
        <v>0</v>
      </c>
      <c r="E152" s="52" t="e">
        <f>E121*E113*Supuestos!AG$14</f>
        <v>#DIV/0!</v>
      </c>
      <c r="F152" s="52" t="e">
        <f>F121*F113*Supuestos!AH$14</f>
        <v>#DIV/0!</v>
      </c>
      <c r="G152" s="52" t="e">
        <f>G121*G113*Supuestos!AI$14</f>
        <v>#DIV/0!</v>
      </c>
      <c r="H152" s="52" t="e">
        <f>H121*H113*Supuestos!AJ$14</f>
        <v>#DIV/0!</v>
      </c>
      <c r="I152" s="52" t="e">
        <f>I121*I113*Supuestos!AK$14</f>
        <v>#DIV/0!</v>
      </c>
      <c r="J152" s="52" t="e">
        <f>J121*J113*Supuestos!AL$14</f>
        <v>#DIV/0!</v>
      </c>
      <c r="K152" s="52" t="e">
        <f>K121*K113*Supuestos!AM$14</f>
        <v>#DIV/0!</v>
      </c>
      <c r="L152" s="52" t="e">
        <f>L121*L113*Supuestos!AN$14</f>
        <v>#DIV/0!</v>
      </c>
      <c r="M152" s="52" t="e">
        <f>M121*M113*Supuestos!AO$14</f>
        <v>#DIV/0!</v>
      </c>
      <c r="N152" s="52" t="e">
        <f>N121*N113*Supuestos!AP$14</f>
        <v>#DIV/0!</v>
      </c>
      <c r="O152" s="52" t="e">
        <f>O121*O113*Supuestos!AQ$14</f>
        <v>#DIV/0!</v>
      </c>
      <c r="P152" s="52"/>
      <c r="Q152" s="52"/>
      <c r="R152" s="52"/>
    </row>
    <row r="153" spans="1:47" s="37" customFormat="1">
      <c r="B153" s="51">
        <v>27</v>
      </c>
      <c r="C153" s="52"/>
      <c r="D153" s="52">
        <f>D121*D113*Supuestos!AG$14</f>
        <v>0</v>
      </c>
      <c r="E153" s="52" t="e">
        <f>E121*E113*Supuestos!AH$14</f>
        <v>#DIV/0!</v>
      </c>
      <c r="F153" s="52" t="e">
        <f>F121*F113*Supuestos!AI$14</f>
        <v>#DIV/0!</v>
      </c>
      <c r="G153" s="52" t="e">
        <f>G121*G113*Supuestos!AJ$14</f>
        <v>#DIV/0!</v>
      </c>
      <c r="H153" s="52" t="e">
        <f>H121*H113*Supuestos!AK$14</f>
        <v>#DIV/0!</v>
      </c>
      <c r="I153" s="52" t="e">
        <f>I121*I113*Supuestos!AL$14</f>
        <v>#DIV/0!</v>
      </c>
      <c r="J153" s="52" t="e">
        <f>J121*J113*Supuestos!AM$14</f>
        <v>#DIV/0!</v>
      </c>
      <c r="K153" s="52" t="e">
        <f>K121*K113*Supuestos!AN$14</f>
        <v>#DIV/0!</v>
      </c>
      <c r="L153" s="52" t="e">
        <f>L121*L113*Supuestos!AO$14</f>
        <v>#DIV/0!</v>
      </c>
      <c r="M153" s="52" t="e">
        <f>M121*M113*Supuestos!AP$14</f>
        <v>#DIV/0!</v>
      </c>
      <c r="N153" s="52" t="e">
        <f>N121*N113*Supuestos!AQ$14</f>
        <v>#DIV/0!</v>
      </c>
      <c r="O153" s="52" t="e">
        <f>O121*O113*Supuestos!AR$14</f>
        <v>#DIV/0!</v>
      </c>
      <c r="P153" s="52"/>
      <c r="Q153" s="52"/>
      <c r="R153" s="52"/>
    </row>
    <row r="154" spans="1:47" s="37" customFormat="1">
      <c r="B154" s="51">
        <v>28</v>
      </c>
      <c r="C154" s="52"/>
      <c r="D154" s="52">
        <f>D121*D113*Supuestos!AH$14</f>
        <v>0</v>
      </c>
      <c r="E154" s="52" t="e">
        <f>E121*E113*Supuestos!AI$14</f>
        <v>#DIV/0!</v>
      </c>
      <c r="F154" s="52" t="e">
        <f>F121*F113*Supuestos!AJ$14</f>
        <v>#DIV/0!</v>
      </c>
      <c r="G154" s="52" t="e">
        <f>G121*G113*Supuestos!AK$14</f>
        <v>#DIV/0!</v>
      </c>
      <c r="H154" s="52" t="e">
        <f>H121*H113*Supuestos!AL$14</f>
        <v>#DIV/0!</v>
      </c>
      <c r="I154" s="52" t="e">
        <f>I121*I113*Supuestos!AM$14</f>
        <v>#DIV/0!</v>
      </c>
      <c r="J154" s="52" t="e">
        <f>J121*J113*Supuestos!AN$14</f>
        <v>#DIV/0!</v>
      </c>
      <c r="K154" s="52" t="e">
        <f>K121*K113*Supuestos!AO$14</f>
        <v>#DIV/0!</v>
      </c>
      <c r="L154" s="52" t="e">
        <f>L121*L113*Supuestos!AP$14</f>
        <v>#DIV/0!</v>
      </c>
      <c r="M154" s="52" t="e">
        <f>M121*M113*Supuestos!AQ$14</f>
        <v>#DIV/0!</v>
      </c>
      <c r="N154" s="52" t="e">
        <f>N121*N113*Supuestos!AR$14</f>
        <v>#DIV/0!</v>
      </c>
      <c r="O154" s="52" t="e">
        <f>O121*O113*Supuestos!AS$14</f>
        <v>#DIV/0!</v>
      </c>
      <c r="P154" s="52"/>
      <c r="Q154" s="52"/>
      <c r="R154" s="52"/>
    </row>
    <row r="155" spans="1:47" s="37" customFormat="1">
      <c r="B155" s="51">
        <v>29</v>
      </c>
      <c r="C155" s="52"/>
      <c r="D155" s="52">
        <f>D121*D113*Supuestos!AI$14</f>
        <v>0</v>
      </c>
      <c r="E155" s="52" t="e">
        <f>E121*E113*Supuestos!AJ$14</f>
        <v>#DIV/0!</v>
      </c>
      <c r="F155" s="52" t="e">
        <f>F121*F113*Supuestos!AK$14</f>
        <v>#DIV/0!</v>
      </c>
      <c r="G155" s="52" t="e">
        <f>G121*G113*Supuestos!AL$14</f>
        <v>#DIV/0!</v>
      </c>
      <c r="H155" s="52" t="e">
        <f>H121*H113*Supuestos!AM$14</f>
        <v>#DIV/0!</v>
      </c>
      <c r="I155" s="52" t="e">
        <f>I121*I113*Supuestos!AN$14</f>
        <v>#DIV/0!</v>
      </c>
      <c r="J155" s="52" t="e">
        <f>J121*J113*Supuestos!AO$14</f>
        <v>#DIV/0!</v>
      </c>
      <c r="K155" s="52" t="e">
        <f>K121*K113*Supuestos!AP$14</f>
        <v>#DIV/0!</v>
      </c>
      <c r="L155" s="52" t="e">
        <f>L121*L113*Supuestos!AQ$14</f>
        <v>#DIV/0!</v>
      </c>
      <c r="M155" s="52" t="e">
        <f>M121*M113*Supuestos!AR$14</f>
        <v>#DIV/0!</v>
      </c>
      <c r="N155" s="52" t="e">
        <f>N121*N113*Supuestos!AS$14</f>
        <v>#DIV/0!</v>
      </c>
      <c r="O155" s="52" t="e">
        <f>O121*O113*Supuestos!AT$14</f>
        <v>#DIV/0!</v>
      </c>
      <c r="P155" s="52"/>
      <c r="Q155" s="52"/>
      <c r="R155" s="52"/>
    </row>
    <row r="156" spans="1:47" s="37" customFormat="1">
      <c r="B156" s="51">
        <v>30</v>
      </c>
      <c r="C156" s="52"/>
      <c r="D156" s="52">
        <f>D121*D113*Supuestos!AJ$14</f>
        <v>0</v>
      </c>
      <c r="E156" s="52" t="e">
        <f>E121*E113*Supuestos!AK$14</f>
        <v>#DIV/0!</v>
      </c>
      <c r="F156" s="52" t="e">
        <f>F121*F113*Supuestos!AL$14</f>
        <v>#DIV/0!</v>
      </c>
      <c r="G156" s="52" t="e">
        <f>G121*G113*Supuestos!AM$14</f>
        <v>#DIV/0!</v>
      </c>
      <c r="H156" s="52" t="e">
        <f>H121*H113*Supuestos!AN$14</f>
        <v>#DIV/0!</v>
      </c>
      <c r="I156" s="52" t="e">
        <f>I121*I113*Supuestos!AO$14</f>
        <v>#DIV/0!</v>
      </c>
      <c r="J156" s="52" t="e">
        <f>J121*J113*Supuestos!AP$14</f>
        <v>#DIV/0!</v>
      </c>
      <c r="K156" s="52" t="e">
        <f>K121*K113*Supuestos!AQ$14</f>
        <v>#DIV/0!</v>
      </c>
      <c r="L156" s="52" t="e">
        <f>L121*L113*Supuestos!AR$14</f>
        <v>#DIV/0!</v>
      </c>
      <c r="M156" s="52" t="e">
        <f>M121*M113*Supuestos!AS$14</f>
        <v>#DIV/0!</v>
      </c>
      <c r="N156" s="52" t="e">
        <f>N121*N113*Supuestos!AT$14</f>
        <v>#DIV/0!</v>
      </c>
      <c r="O156" s="52" t="e">
        <f>O121*O113*Supuestos!AU$14</f>
        <v>#DIV/0!</v>
      </c>
      <c r="P156" s="52"/>
      <c r="Q156" s="52"/>
      <c r="R156" s="52"/>
    </row>
    <row r="157" spans="1:47" s="37" customFormat="1">
      <c r="B157" s="51"/>
    </row>
    <row r="158" spans="1:47" s="37" customFormat="1" ht="16">
      <c r="B158" s="51" t="s">
        <v>113</v>
      </c>
      <c r="C158" s="52"/>
      <c r="D158" s="52">
        <f>C127</f>
        <v>0</v>
      </c>
      <c r="E158" s="52">
        <f>D127+C128</f>
        <v>0</v>
      </c>
      <c r="F158" s="52" t="e">
        <f>E127+D128+C129</f>
        <v>#DIV/0!</v>
      </c>
      <c r="G158" s="52" t="e">
        <f>F127+E128+D129+C130</f>
        <v>#DIV/0!</v>
      </c>
      <c r="H158" s="52" t="e">
        <f>G127+F128+E129+D130+C131</f>
        <v>#DIV/0!</v>
      </c>
      <c r="I158" s="52" t="e">
        <f>H127+G128+F129+E130+D131+C132</f>
        <v>#DIV/0!</v>
      </c>
      <c r="J158" s="52" t="e">
        <f>I127+H128+G129+F130+E131+D132+C133</f>
        <v>#DIV/0!</v>
      </c>
      <c r="K158" s="52" t="e">
        <f>J127+I128+H129+G130+F131+E132+D133+C134</f>
        <v>#DIV/0!</v>
      </c>
      <c r="L158" s="52" t="e">
        <f>K127+J128+I129+H130+G131+F132+E133+D134+C135</f>
        <v>#DIV/0!</v>
      </c>
      <c r="M158" s="52" t="e">
        <f>L127+K128+J129+I130+H131+G132+F133+E134+D135+C136</f>
        <v>#DIV/0!</v>
      </c>
      <c r="N158" s="52" t="e">
        <f>M127+L128+K129+J130+I131+H132+G133+F134+E135+D136+C137</f>
        <v>#DIV/0!</v>
      </c>
      <c r="O158" s="52" t="e">
        <f>N127+M128+L129+K130+J131+I132+H133+G134+F135+E136+D137</f>
        <v>#DIV/0!</v>
      </c>
      <c r="P158" s="52"/>
      <c r="Q158" s="52"/>
      <c r="R158" s="52"/>
    </row>
    <row r="159" spans="1:47" s="37" customFormat="1" ht="16">
      <c r="B159" s="51" t="s">
        <v>114</v>
      </c>
      <c r="C159" s="52"/>
      <c r="D159" s="52">
        <f t="shared" ref="D159:J159" si="93">D126</f>
        <v>0</v>
      </c>
      <c r="E159" s="52">
        <f t="shared" si="93"/>
        <v>0</v>
      </c>
      <c r="F159" s="52">
        <f t="shared" si="93"/>
        <v>0</v>
      </c>
      <c r="G159" s="52">
        <f t="shared" si="93"/>
        <v>0</v>
      </c>
      <c r="H159" s="52">
        <f t="shared" si="93"/>
        <v>0</v>
      </c>
      <c r="I159" s="52">
        <f t="shared" si="93"/>
        <v>0</v>
      </c>
      <c r="J159" s="52">
        <f t="shared" si="93"/>
        <v>0</v>
      </c>
      <c r="K159" s="52">
        <f>K126</f>
        <v>0</v>
      </c>
      <c r="L159" s="52">
        <f>L126</f>
        <v>0</v>
      </c>
      <c r="M159" s="52">
        <f>M126</f>
        <v>0</v>
      </c>
      <c r="N159" s="52">
        <f>N126</f>
        <v>0</v>
      </c>
      <c r="O159" s="52">
        <f>O126</f>
        <v>0</v>
      </c>
      <c r="P159" s="52"/>
      <c r="Q159" s="52"/>
      <c r="R159" s="52"/>
    </row>
    <row r="160" spans="1:47" s="37" customFormat="1">
      <c r="B160" s="51"/>
      <c r="C160" s="52"/>
      <c r="D160" s="52"/>
      <c r="E160" s="52"/>
      <c r="F160" s="52"/>
      <c r="G160" s="52"/>
      <c r="H160" s="52"/>
      <c r="I160" s="52"/>
      <c r="J160" s="52"/>
      <c r="K160" s="52"/>
      <c r="L160" s="52"/>
      <c r="M160" s="52"/>
      <c r="N160" s="52"/>
      <c r="O160" s="52"/>
      <c r="P160" s="52"/>
      <c r="Q160" s="52"/>
      <c r="R160" s="52"/>
    </row>
    <row r="161" spans="2:46">
      <c r="B161" s="64"/>
      <c r="C161" s="65"/>
      <c r="D161" s="65"/>
      <c r="E161" s="66"/>
      <c r="F161" s="65"/>
      <c r="G161" s="65"/>
      <c r="H161" s="65"/>
      <c r="I161" s="65"/>
      <c r="J161" s="65"/>
      <c r="K161" s="65"/>
      <c r="L161" s="67"/>
      <c r="M161" s="67"/>
      <c r="N161" s="67"/>
      <c r="O161" s="67"/>
      <c r="P161" s="67"/>
      <c r="Q161" s="67"/>
      <c r="R161" s="67"/>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row>
    <row r="162" spans="2:46">
      <c r="B162" s="64"/>
      <c r="C162" s="65"/>
      <c r="D162" s="65"/>
      <c r="E162" s="65"/>
      <c r="F162" s="65"/>
      <c r="G162" s="65"/>
      <c r="H162" s="67"/>
      <c r="I162" s="65"/>
      <c r="J162" s="65"/>
      <c r="K162" s="65"/>
      <c r="L162" s="65"/>
      <c r="M162" s="69"/>
      <c r="N162" s="65"/>
      <c r="O162" s="65"/>
      <c r="P162" s="65"/>
      <c r="Q162" s="65"/>
      <c r="R162" s="65"/>
      <c r="S162" s="70"/>
      <c r="T162" s="70"/>
      <c r="U162" s="70"/>
      <c r="V162" s="70"/>
      <c r="W162" s="70"/>
      <c r="X162" s="70"/>
      <c r="Y162" s="70"/>
      <c r="Z162" s="70"/>
      <c r="AA162" s="70"/>
      <c r="AB162" s="70"/>
      <c r="AC162" s="70"/>
      <c r="AD162" s="70"/>
      <c r="AE162" s="70"/>
      <c r="AF162" s="70"/>
      <c r="AG162" s="70"/>
      <c r="AH162" s="70"/>
      <c r="AI162" s="70"/>
      <c r="AJ162" s="70"/>
      <c r="AK162" s="70"/>
      <c r="AL162" s="70"/>
      <c r="AM162" s="70"/>
      <c r="AN162" s="70"/>
      <c r="AO162" s="70"/>
      <c r="AP162" s="70"/>
      <c r="AQ162" s="70"/>
      <c r="AR162" s="70"/>
      <c r="AS162" s="70"/>
      <c r="AT162" s="7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16</vt:i4>
      </vt:variant>
    </vt:vector>
  </HeadingPairs>
  <TitlesOfParts>
    <vt:vector size="16" baseType="lpstr">
      <vt:lpstr>PORTADA</vt:lpstr>
      <vt:lpstr>Introducción</vt:lpstr>
      <vt:lpstr>Perfil de vencimientos</vt:lpstr>
      <vt:lpstr>TES UVR vigentes</vt:lpstr>
      <vt:lpstr>F&amp;U</vt:lpstr>
      <vt:lpstr>Supuestos</vt:lpstr>
      <vt:lpstr>Deuda a emitir</vt:lpstr>
      <vt:lpstr>Emisiones COP</vt:lpstr>
      <vt:lpstr>Emisiones UVR</vt:lpstr>
      <vt:lpstr>Emisiones USD Bonos</vt:lpstr>
      <vt:lpstr>Emisiones USD Multil</vt:lpstr>
      <vt:lpstr>Calculo deuda</vt:lpstr>
      <vt:lpstr>SALIDA</vt:lpstr>
      <vt:lpstr>Gráficos</vt:lpstr>
      <vt:lpstr>Dinámica de la deuda</vt:lpstr>
      <vt:lpstr>Cumplimiento de la regla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Johanna Maricela Lopez Velandia</dc:creator>
  <cp:lastModifiedBy>Johanna Maricela Lopez Velandia</cp:lastModifiedBy>
  <dcterms:created xsi:type="dcterms:W3CDTF">2022-08-05T00:54:34Z</dcterms:created>
  <dcterms:modified xsi:type="dcterms:W3CDTF">2023-10-17T02:40:07Z</dcterms:modified>
</cp:coreProperties>
</file>