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johanna/Library/CloudStorage/Dropbox/CARF/4-Modelos/10-Modelo Deuda/6-Actualización 2024/"/>
    </mc:Choice>
  </mc:AlternateContent>
  <xr:revisionPtr revIDLastSave="0" documentId="13_ncr:1_{53E61629-6A35-4442-BB17-C74CCACE6B08}" xr6:coauthVersionLast="47" xr6:coauthVersionMax="47" xr10:uidLastSave="{00000000-0000-0000-0000-000000000000}"/>
  <bookViews>
    <workbookView xWindow="0" yWindow="500" windowWidth="28800" windowHeight="16380" xr2:uid="{8BE779C2-FD46-5D49-8A7A-1C4B6A5528B7}"/>
  </bookViews>
  <sheets>
    <sheet name="PORTADA" sheetId="6" r:id="rId1"/>
    <sheet name="Introducción" sheetId="7" r:id="rId2"/>
    <sheet name="Insumos externos" sheetId="2" r:id="rId3"/>
    <sheet name="Deuda a emitir" sheetId="3" r:id="rId4"/>
    <sheet name="Deuda GNC" sheetId="4" r:id="rId5"/>
    <sheet name="Gráficos deuda" sheetId="5" r:id="rId6"/>
    <sheet name="Cumplimiento de la regla" sheetId="1" r:id="rId7"/>
  </sheets>
  <definedNames>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2" i="3" l="1"/>
  <c r="E302" i="3"/>
  <c r="E462" i="3"/>
  <c r="E582" i="3"/>
  <c r="E772" i="3"/>
  <c r="E779" i="3" s="1"/>
  <c r="E780" i="3"/>
  <c r="E782" i="3" s="1"/>
  <c r="E787" i="3"/>
  <c r="E788" i="3"/>
  <c r="E789" i="3"/>
  <c r="E790" i="3"/>
  <c r="E792" i="3"/>
  <c r="E795" i="3"/>
  <c r="E799" i="3"/>
  <c r="E800" i="3"/>
  <c r="E801" i="3"/>
  <c r="F45" i="2"/>
  <c r="F34" i="2" s="1"/>
  <c r="F41" i="2"/>
  <c r="F37" i="2"/>
  <c r="C36" i="2"/>
  <c r="C34" i="2" s="1"/>
  <c r="E791" i="3" l="1"/>
  <c r="E802" i="3"/>
  <c r="E796" i="3"/>
  <c r="E798" i="3" s="1"/>
  <c r="E774" i="3"/>
  <c r="E773" i="3" s="1"/>
  <c r="F103" i="3" l="1"/>
  <c r="I58" i="2"/>
  <c r="I39" i="2"/>
  <c r="B21" i="1"/>
  <c r="K152" i="3"/>
  <c r="Y148" i="4" l="1"/>
  <c r="Y147" i="4"/>
  <c r="Y135" i="4"/>
  <c r="X135" i="4"/>
  <c r="W135" i="4"/>
  <c r="V135" i="4"/>
  <c r="U135" i="4"/>
  <c r="T135" i="4"/>
  <c r="S135" i="4"/>
  <c r="R135" i="4"/>
  <c r="Q135" i="4"/>
  <c r="P135" i="4"/>
  <c r="O135" i="4"/>
  <c r="N135" i="4"/>
  <c r="M135" i="4"/>
  <c r="L135" i="4"/>
  <c r="K135" i="4"/>
  <c r="J135" i="4"/>
  <c r="I135" i="4"/>
  <c r="H135" i="4"/>
  <c r="G135" i="4"/>
  <c r="F135" i="4"/>
  <c r="E135" i="4"/>
  <c r="D135" i="4"/>
  <c r="C135" i="4"/>
  <c r="Y117" i="4"/>
  <c r="X117" i="4"/>
  <c r="W117" i="4"/>
  <c r="V117" i="4"/>
  <c r="U117" i="4"/>
  <c r="T117" i="4"/>
  <c r="S117" i="4"/>
  <c r="R117" i="4"/>
  <c r="Q117" i="4"/>
  <c r="P117" i="4"/>
  <c r="O117" i="4"/>
  <c r="N117" i="4"/>
  <c r="M117" i="4"/>
  <c r="L117" i="4"/>
  <c r="K117" i="4"/>
  <c r="J117" i="4"/>
  <c r="I117" i="4"/>
  <c r="H117" i="4"/>
  <c r="G117" i="4"/>
  <c r="F117" i="4"/>
  <c r="E117" i="4"/>
  <c r="D117" i="4"/>
  <c r="C117" i="4"/>
  <c r="Y115" i="4"/>
  <c r="X115" i="4"/>
  <c r="W115" i="4"/>
  <c r="V115" i="4"/>
  <c r="U115" i="4"/>
  <c r="T115" i="4"/>
  <c r="S115" i="4"/>
  <c r="R115" i="4"/>
  <c r="Q115" i="4"/>
  <c r="P115" i="4"/>
  <c r="O115" i="4"/>
  <c r="N115" i="4"/>
  <c r="M115" i="4"/>
  <c r="L115" i="4"/>
  <c r="K115" i="4"/>
  <c r="J115" i="4"/>
  <c r="I115" i="4"/>
  <c r="H115" i="4"/>
  <c r="G115" i="4"/>
  <c r="F115" i="4"/>
  <c r="E115" i="4"/>
  <c r="D115" i="4"/>
  <c r="C115" i="4"/>
  <c r="Y111" i="4"/>
  <c r="X111" i="4"/>
  <c r="W111" i="4"/>
  <c r="V111" i="4"/>
  <c r="U111" i="4"/>
  <c r="T111" i="4"/>
  <c r="S111" i="4"/>
  <c r="R111" i="4"/>
  <c r="Q111" i="4"/>
  <c r="P111" i="4"/>
  <c r="O111" i="4"/>
  <c r="N111" i="4"/>
  <c r="M111" i="4"/>
  <c r="L111" i="4"/>
  <c r="K111" i="4"/>
  <c r="J111" i="4"/>
  <c r="I111" i="4"/>
  <c r="H111" i="4"/>
  <c r="G111" i="4"/>
  <c r="F111" i="4"/>
  <c r="E111" i="4"/>
  <c r="D111" i="4"/>
  <c r="C111" i="4"/>
  <c r="Y83" i="4"/>
  <c r="X83" i="4"/>
  <c r="W83" i="4"/>
  <c r="V83" i="4"/>
  <c r="U83" i="4"/>
  <c r="T83" i="4"/>
  <c r="S83" i="4"/>
  <c r="R83" i="4"/>
  <c r="Q83" i="4"/>
  <c r="P83" i="4"/>
  <c r="O83" i="4"/>
  <c r="N83" i="4"/>
  <c r="M83" i="4"/>
  <c r="L83" i="4"/>
  <c r="K83" i="4"/>
  <c r="J83" i="4"/>
  <c r="I83" i="4"/>
  <c r="H83" i="4"/>
  <c r="G83" i="4"/>
  <c r="F83" i="4"/>
  <c r="E83" i="4"/>
  <c r="D83" i="4"/>
  <c r="C83" i="4"/>
  <c r="B83" i="4"/>
  <c r="Y82" i="4"/>
  <c r="X82" i="4"/>
  <c r="W82" i="4"/>
  <c r="V82" i="4"/>
  <c r="U82" i="4"/>
  <c r="T82" i="4"/>
  <c r="S82" i="4"/>
  <c r="R82" i="4"/>
  <c r="Q82" i="4"/>
  <c r="P82" i="4"/>
  <c r="O82" i="4"/>
  <c r="N82" i="4"/>
  <c r="M82" i="4"/>
  <c r="L82" i="4"/>
  <c r="K82" i="4"/>
  <c r="J82" i="4"/>
  <c r="I82" i="4"/>
  <c r="H82" i="4"/>
  <c r="G82" i="4"/>
  <c r="F82" i="4"/>
  <c r="E82" i="4"/>
  <c r="D82" i="4"/>
  <c r="C82" i="4"/>
  <c r="B82" i="4"/>
  <c r="Y81" i="4"/>
  <c r="X81" i="4"/>
  <c r="W81" i="4"/>
  <c r="V81" i="4"/>
  <c r="U81" i="4"/>
  <c r="T81" i="4"/>
  <c r="S81" i="4"/>
  <c r="R81" i="4"/>
  <c r="Q81" i="4"/>
  <c r="P81" i="4"/>
  <c r="O81" i="4"/>
  <c r="N81" i="4"/>
  <c r="M81" i="4"/>
  <c r="L81" i="4"/>
  <c r="K81" i="4"/>
  <c r="J81" i="4"/>
  <c r="I81" i="4"/>
  <c r="H81" i="4"/>
  <c r="G81" i="4"/>
  <c r="F81" i="4"/>
  <c r="E81" i="4"/>
  <c r="D81" i="4"/>
  <c r="C81" i="4"/>
  <c r="B81" i="4"/>
  <c r="Y80" i="4"/>
  <c r="X80" i="4"/>
  <c r="W80" i="4"/>
  <c r="V80" i="4"/>
  <c r="U80" i="4"/>
  <c r="T80" i="4"/>
  <c r="S80" i="4"/>
  <c r="R80" i="4"/>
  <c r="Q80" i="4"/>
  <c r="P80" i="4"/>
  <c r="O80" i="4"/>
  <c r="N80" i="4"/>
  <c r="M80" i="4"/>
  <c r="L80" i="4"/>
  <c r="K80" i="4"/>
  <c r="J80" i="4"/>
  <c r="I80" i="4"/>
  <c r="H80" i="4"/>
  <c r="G80" i="4"/>
  <c r="F80" i="4"/>
  <c r="E80" i="4"/>
  <c r="D80" i="4"/>
  <c r="C80" i="4"/>
  <c r="B80" i="4"/>
  <c r="G79" i="4"/>
  <c r="F79" i="4"/>
  <c r="E79" i="4"/>
  <c r="D79" i="4"/>
  <c r="C79" i="4"/>
  <c r="B79" i="4"/>
  <c r="Y68" i="4"/>
  <c r="X68" i="4"/>
  <c r="W68" i="4"/>
  <c r="V68" i="4"/>
  <c r="U68" i="4"/>
  <c r="T68" i="4"/>
  <c r="S68" i="4"/>
  <c r="R68" i="4"/>
  <c r="Q68" i="4"/>
  <c r="P68" i="4"/>
  <c r="O68" i="4"/>
  <c r="N68" i="4"/>
  <c r="M68" i="4"/>
  <c r="L68" i="4"/>
  <c r="K68" i="4"/>
  <c r="J68" i="4"/>
  <c r="I68" i="4"/>
  <c r="H68" i="4"/>
  <c r="G68" i="4"/>
  <c r="F68" i="4"/>
  <c r="E68" i="4"/>
  <c r="D68" i="4"/>
  <c r="C68" i="4"/>
  <c r="B68" i="4"/>
  <c r="Y67" i="4"/>
  <c r="X67" i="4"/>
  <c r="W67" i="4"/>
  <c r="V67" i="4"/>
  <c r="U67" i="4"/>
  <c r="T67" i="4"/>
  <c r="S67" i="4"/>
  <c r="R67" i="4"/>
  <c r="Q67" i="4"/>
  <c r="P67" i="4"/>
  <c r="O67" i="4"/>
  <c r="N67" i="4"/>
  <c r="M67" i="4"/>
  <c r="L67" i="4"/>
  <c r="K67" i="4"/>
  <c r="J67" i="4"/>
  <c r="I67" i="4"/>
  <c r="H67" i="4"/>
  <c r="G67" i="4"/>
  <c r="F67" i="4"/>
  <c r="E67" i="4"/>
  <c r="D67" i="4"/>
  <c r="C67" i="4"/>
  <c r="B67" i="4"/>
  <c r="Y65" i="4"/>
  <c r="X65" i="4"/>
  <c r="W65" i="4"/>
  <c r="V65" i="4"/>
  <c r="U65" i="4"/>
  <c r="T65" i="4"/>
  <c r="S65" i="4"/>
  <c r="R65" i="4"/>
  <c r="Q65" i="4"/>
  <c r="P65" i="4"/>
  <c r="O65" i="4"/>
  <c r="N65" i="4"/>
  <c r="M65" i="4"/>
  <c r="L65" i="4"/>
  <c r="K65" i="4"/>
  <c r="J65" i="4"/>
  <c r="I65" i="4"/>
  <c r="H65" i="4"/>
  <c r="G65" i="4"/>
  <c r="F65" i="4"/>
  <c r="E65" i="4"/>
  <c r="D65" i="4"/>
  <c r="C65" i="4"/>
  <c r="B65" i="4"/>
  <c r="Y64" i="4"/>
  <c r="X64" i="4"/>
  <c r="W64" i="4"/>
  <c r="V64" i="4"/>
  <c r="U64" i="4"/>
  <c r="T64" i="4"/>
  <c r="S64" i="4"/>
  <c r="R64" i="4"/>
  <c r="Q64" i="4"/>
  <c r="P64" i="4"/>
  <c r="O64" i="4"/>
  <c r="N64" i="4"/>
  <c r="M64" i="4"/>
  <c r="L64" i="4"/>
  <c r="K64" i="4"/>
  <c r="J64" i="4"/>
  <c r="I64" i="4"/>
  <c r="H64" i="4"/>
  <c r="G64" i="4"/>
  <c r="F64" i="4"/>
  <c r="E64" i="4"/>
  <c r="D64" i="4"/>
  <c r="C64" i="4"/>
  <c r="B64" i="4"/>
  <c r="Y63" i="4"/>
  <c r="X63" i="4"/>
  <c r="W63" i="4"/>
  <c r="V63" i="4"/>
  <c r="U63" i="4"/>
  <c r="T63" i="4"/>
  <c r="S63" i="4"/>
  <c r="R63" i="4"/>
  <c r="Q63" i="4"/>
  <c r="P63" i="4"/>
  <c r="O63" i="4"/>
  <c r="N63" i="4"/>
  <c r="M63" i="4"/>
  <c r="L63" i="4"/>
  <c r="K63" i="4"/>
  <c r="J63" i="4"/>
  <c r="I63" i="4"/>
  <c r="H63" i="4"/>
  <c r="G63" i="4"/>
  <c r="F63" i="4"/>
  <c r="E63" i="4"/>
  <c r="D63" i="4"/>
  <c r="C63" i="4"/>
  <c r="B63" i="4"/>
  <c r="Y61" i="4"/>
  <c r="X61" i="4"/>
  <c r="W61" i="4"/>
  <c r="V61" i="4"/>
  <c r="U61" i="4"/>
  <c r="T61" i="4"/>
  <c r="S61" i="4"/>
  <c r="R61" i="4"/>
  <c r="Q61" i="4"/>
  <c r="P61" i="4"/>
  <c r="O61" i="4"/>
  <c r="N61" i="4"/>
  <c r="M61" i="4"/>
  <c r="L61" i="4"/>
  <c r="K61" i="4"/>
  <c r="J61" i="4"/>
  <c r="I61" i="4"/>
  <c r="H61" i="4"/>
  <c r="G61" i="4"/>
  <c r="F61" i="4"/>
  <c r="E61" i="4"/>
  <c r="D61" i="4"/>
  <c r="C61" i="4"/>
  <c r="B61" i="4"/>
  <c r="Y60" i="4"/>
  <c r="X60" i="4"/>
  <c r="W60" i="4"/>
  <c r="V60" i="4"/>
  <c r="U60" i="4"/>
  <c r="T60" i="4"/>
  <c r="S60" i="4"/>
  <c r="R60" i="4"/>
  <c r="Q60" i="4"/>
  <c r="P60" i="4"/>
  <c r="O60" i="4"/>
  <c r="N60" i="4"/>
  <c r="M60" i="4"/>
  <c r="L60" i="4"/>
  <c r="K60" i="4"/>
  <c r="J60" i="4"/>
  <c r="I60" i="4"/>
  <c r="H60" i="4"/>
  <c r="G60" i="4"/>
  <c r="F60" i="4"/>
  <c r="E60" i="4"/>
  <c r="D60" i="4"/>
  <c r="C60" i="4"/>
  <c r="B60" i="4"/>
  <c r="Y59" i="4"/>
  <c r="X59" i="4"/>
  <c r="W59" i="4"/>
  <c r="V59" i="4"/>
  <c r="U59" i="4"/>
  <c r="T59" i="4"/>
  <c r="S59" i="4"/>
  <c r="R59" i="4"/>
  <c r="Q59" i="4"/>
  <c r="P59" i="4"/>
  <c r="O59" i="4"/>
  <c r="N59" i="4"/>
  <c r="M59" i="4"/>
  <c r="L59" i="4"/>
  <c r="K59" i="4"/>
  <c r="J59" i="4"/>
  <c r="I59" i="4"/>
  <c r="H59" i="4"/>
  <c r="G59" i="4"/>
  <c r="F59" i="4"/>
  <c r="E59" i="4"/>
  <c r="D59" i="4"/>
  <c r="C59" i="4"/>
  <c r="B59" i="4"/>
  <c r="Y94" i="4"/>
  <c r="Y17" i="5" s="1"/>
  <c r="X94" i="4"/>
  <c r="X17" i="5" s="1"/>
  <c r="W94" i="4"/>
  <c r="W17" i="5" s="1"/>
  <c r="V94" i="4"/>
  <c r="V17" i="5" s="1"/>
  <c r="U94" i="4"/>
  <c r="U17" i="5" s="1"/>
  <c r="T94" i="4"/>
  <c r="T17" i="5" s="1"/>
  <c r="S94" i="4"/>
  <c r="S17" i="5" s="1"/>
  <c r="R94" i="4"/>
  <c r="R17" i="5" s="1"/>
  <c r="Q94" i="4"/>
  <c r="Q17" i="5" s="1"/>
  <c r="P94" i="4"/>
  <c r="P17" i="5" s="1"/>
  <c r="O94" i="4"/>
  <c r="O17" i="5" s="1"/>
  <c r="N94" i="4"/>
  <c r="N17" i="5" s="1"/>
  <c r="M94" i="4"/>
  <c r="M17" i="5" s="1"/>
  <c r="L94" i="4"/>
  <c r="L17" i="5" s="1"/>
  <c r="K94" i="4"/>
  <c r="K17" i="5" s="1"/>
  <c r="J94" i="4"/>
  <c r="J17" i="5" s="1"/>
  <c r="I94" i="4"/>
  <c r="I17" i="5" s="1"/>
  <c r="H94" i="4"/>
  <c r="H17" i="5" s="1"/>
  <c r="G94" i="4"/>
  <c r="G17" i="5" s="1"/>
  <c r="F94" i="4"/>
  <c r="F17" i="5" s="1"/>
  <c r="E94" i="4"/>
  <c r="E17" i="5" s="1"/>
  <c r="D94" i="4"/>
  <c r="D17" i="5" s="1"/>
  <c r="C94" i="4"/>
  <c r="C17" i="5" s="1"/>
  <c r="B94" i="4"/>
  <c r="B17" i="5" s="1"/>
  <c r="Y91" i="4"/>
  <c r="W91" i="4"/>
  <c r="V91" i="4"/>
  <c r="U91" i="4"/>
  <c r="T91" i="4"/>
  <c r="S91" i="4"/>
  <c r="R91" i="4"/>
  <c r="Q91" i="4"/>
  <c r="O91" i="4"/>
  <c r="N91" i="4"/>
  <c r="M91" i="4"/>
  <c r="L91" i="4"/>
  <c r="K91" i="4"/>
  <c r="J91" i="4"/>
  <c r="I91" i="4"/>
  <c r="H91" i="4"/>
  <c r="G91" i="4"/>
  <c r="F91" i="4"/>
  <c r="E91" i="4"/>
  <c r="D91" i="4"/>
  <c r="C91" i="4"/>
  <c r="B91" i="4"/>
  <c r="Y90" i="4"/>
  <c r="X90" i="4"/>
  <c r="R90" i="4"/>
  <c r="Q90" i="4"/>
  <c r="P90" i="4"/>
  <c r="O90" i="4"/>
  <c r="I90" i="4"/>
  <c r="H90" i="4"/>
  <c r="B90" i="4"/>
  <c r="X88" i="4"/>
  <c r="W88" i="4"/>
  <c r="V88" i="4"/>
  <c r="U88" i="4"/>
  <c r="T88" i="4"/>
  <c r="S88" i="4"/>
  <c r="Q88" i="4"/>
  <c r="P88" i="4"/>
  <c r="O88" i="4"/>
  <c r="N88" i="4"/>
  <c r="M88" i="4"/>
  <c r="L88" i="4"/>
  <c r="K88" i="4"/>
  <c r="J88" i="4"/>
  <c r="I88" i="4"/>
  <c r="H88" i="4"/>
  <c r="G88" i="4"/>
  <c r="F88" i="4"/>
  <c r="E88" i="4"/>
  <c r="D88" i="4"/>
  <c r="C88" i="4"/>
  <c r="Y87" i="4"/>
  <c r="X87" i="4"/>
  <c r="W87" i="4"/>
  <c r="R87" i="4"/>
  <c r="Q87" i="4"/>
  <c r="L87" i="4"/>
  <c r="J87" i="4"/>
  <c r="H87" i="4"/>
  <c r="G87" i="4"/>
  <c r="B87" i="4"/>
  <c r="Z32" i="4"/>
  <c r="Y32" i="4"/>
  <c r="X32" i="4"/>
  <c r="W32" i="4"/>
  <c r="W31" i="4" s="1"/>
  <c r="V32" i="4"/>
  <c r="V31" i="4" s="1"/>
  <c r="U32" i="4"/>
  <c r="U79" i="4" s="1"/>
  <c r="T32" i="4"/>
  <c r="T31" i="4" s="1"/>
  <c r="S32" i="4"/>
  <c r="R32" i="4"/>
  <c r="Q32" i="4"/>
  <c r="P32" i="4"/>
  <c r="O32" i="4"/>
  <c r="N32" i="4"/>
  <c r="N31" i="4" s="1"/>
  <c r="M32" i="4"/>
  <c r="M31" i="4" s="1"/>
  <c r="L32" i="4"/>
  <c r="L31" i="4" s="1"/>
  <c r="K32" i="4"/>
  <c r="K79" i="4" s="1"/>
  <c r="J32" i="4"/>
  <c r="J79" i="4" s="1"/>
  <c r="I32" i="4"/>
  <c r="H32" i="4"/>
  <c r="H31" i="4" s="1"/>
  <c r="G31" i="4"/>
  <c r="F31" i="4"/>
  <c r="E31" i="4"/>
  <c r="D31" i="4"/>
  <c r="C31" i="4"/>
  <c r="C37" i="4" s="1"/>
  <c r="B31" i="4"/>
  <c r="B37" i="4" s="1"/>
  <c r="AL21" i="4"/>
  <c r="AK21" i="4"/>
  <c r="AJ21" i="4"/>
  <c r="AI21" i="4"/>
  <c r="AH21" i="4"/>
  <c r="AG21" i="4"/>
  <c r="AF21" i="4"/>
  <c r="AE21" i="4"/>
  <c r="AD21" i="4"/>
  <c r="AC21" i="4"/>
  <c r="AB21" i="4"/>
  <c r="AA21" i="4"/>
  <c r="Z21" i="4"/>
  <c r="AL20" i="4"/>
  <c r="AK20" i="4"/>
  <c r="AJ20" i="4"/>
  <c r="AI20" i="4"/>
  <c r="AH20" i="4"/>
  <c r="AG20" i="4"/>
  <c r="AF20" i="4"/>
  <c r="AE20" i="4"/>
  <c r="AD20" i="4"/>
  <c r="AC20" i="4"/>
  <c r="AB20" i="4"/>
  <c r="AA20" i="4"/>
  <c r="Z20" i="4"/>
  <c r="Y19" i="4"/>
  <c r="Y66" i="4" s="1"/>
  <c r="X19" i="4"/>
  <c r="X66" i="4" s="1"/>
  <c r="W19" i="4"/>
  <c r="W66" i="4" s="1"/>
  <c r="V19" i="4"/>
  <c r="V66" i="4" s="1"/>
  <c r="U19" i="4"/>
  <c r="U66" i="4" s="1"/>
  <c r="T19" i="4"/>
  <c r="T66" i="4" s="1"/>
  <c r="S19" i="4"/>
  <c r="S66" i="4" s="1"/>
  <c r="R19" i="4"/>
  <c r="R66" i="4" s="1"/>
  <c r="Q19" i="4"/>
  <c r="Q66" i="4" s="1"/>
  <c r="P19" i="4"/>
  <c r="P66" i="4" s="1"/>
  <c r="O19" i="4"/>
  <c r="O66" i="4" s="1"/>
  <c r="N19" i="4"/>
  <c r="N66" i="4" s="1"/>
  <c r="M19" i="4"/>
  <c r="M66" i="4" s="1"/>
  <c r="L19" i="4"/>
  <c r="L66" i="4" s="1"/>
  <c r="K19" i="4"/>
  <c r="K66" i="4" s="1"/>
  <c r="J19" i="4"/>
  <c r="J66" i="4" s="1"/>
  <c r="I19" i="4"/>
  <c r="I66" i="4" s="1"/>
  <c r="H19" i="4"/>
  <c r="H66" i="4" s="1"/>
  <c r="G19" i="4"/>
  <c r="G66" i="4" s="1"/>
  <c r="F19" i="4"/>
  <c r="F66" i="4" s="1"/>
  <c r="E19" i="4"/>
  <c r="E66" i="4" s="1"/>
  <c r="D19" i="4"/>
  <c r="D66" i="4" s="1"/>
  <c r="C19" i="4"/>
  <c r="C66" i="4" s="1"/>
  <c r="B19" i="4"/>
  <c r="B66" i="4" s="1"/>
  <c r="AL18" i="4"/>
  <c r="AK18" i="4"/>
  <c r="AJ18" i="4"/>
  <c r="AI18" i="4"/>
  <c r="AH18" i="4"/>
  <c r="AG18" i="4"/>
  <c r="AF18" i="4"/>
  <c r="AE18" i="4"/>
  <c r="AD18" i="4"/>
  <c r="AC18" i="4"/>
  <c r="AL17" i="4"/>
  <c r="AK17" i="4"/>
  <c r="AJ17" i="4"/>
  <c r="AI17" i="4"/>
  <c r="AH17" i="4"/>
  <c r="AG17" i="4"/>
  <c r="AF17" i="4"/>
  <c r="AE17" i="4"/>
  <c r="AD17" i="4"/>
  <c r="AC17" i="4"/>
  <c r="AB17" i="4"/>
  <c r="AA17" i="4"/>
  <c r="AL16" i="4"/>
  <c r="AK16" i="4"/>
  <c r="AJ16" i="4"/>
  <c r="AI16" i="4"/>
  <c r="AH16" i="4"/>
  <c r="AG16" i="4"/>
  <c r="AF16" i="4"/>
  <c r="AE16" i="4"/>
  <c r="AD16" i="4"/>
  <c r="AC16" i="4"/>
  <c r="AB16" i="4"/>
  <c r="AA16" i="4"/>
  <c r="Z15" i="4"/>
  <c r="Y15" i="4"/>
  <c r="X15" i="4"/>
  <c r="W15" i="4"/>
  <c r="V15" i="4"/>
  <c r="V62" i="4" s="1"/>
  <c r="U15" i="4"/>
  <c r="U62" i="4" s="1"/>
  <c r="T15" i="4"/>
  <c r="T62" i="4" s="1"/>
  <c r="S15" i="4"/>
  <c r="S62" i="4" s="1"/>
  <c r="R15" i="4"/>
  <c r="R62" i="4" s="1"/>
  <c r="Q15" i="4"/>
  <c r="P15" i="4"/>
  <c r="O15" i="4"/>
  <c r="N15" i="4"/>
  <c r="M15" i="4"/>
  <c r="M62" i="4" s="1"/>
  <c r="L15" i="4"/>
  <c r="L62" i="4" s="1"/>
  <c r="K15" i="4"/>
  <c r="K62" i="4" s="1"/>
  <c r="J15" i="4"/>
  <c r="J62" i="4" s="1"/>
  <c r="I15" i="4"/>
  <c r="H15" i="4"/>
  <c r="G15" i="4"/>
  <c r="F15" i="4"/>
  <c r="E15" i="4"/>
  <c r="E62" i="4" s="1"/>
  <c r="D15" i="4"/>
  <c r="D62" i="4" s="1"/>
  <c r="C15" i="4"/>
  <c r="C62" i="4" s="1"/>
  <c r="B15" i="4"/>
  <c r="B62" i="4" s="1"/>
  <c r="AL14" i="4"/>
  <c r="AK14" i="4"/>
  <c r="AJ14" i="4"/>
  <c r="AI14" i="4"/>
  <c r="AH14" i="4"/>
  <c r="AG14" i="4"/>
  <c r="AF14" i="4"/>
  <c r="AE14" i="4"/>
  <c r="AD14" i="4"/>
  <c r="AC14" i="4"/>
  <c r="AB14" i="4"/>
  <c r="AA14" i="4"/>
  <c r="Z11" i="4"/>
  <c r="Y11" i="4"/>
  <c r="Y58" i="4" s="1"/>
  <c r="X11" i="4"/>
  <c r="X58" i="4" s="1"/>
  <c r="W11" i="4"/>
  <c r="W58" i="4" s="1"/>
  <c r="V11" i="4"/>
  <c r="V58" i="4" s="1"/>
  <c r="U11" i="4"/>
  <c r="U58" i="4" s="1"/>
  <c r="T11" i="4"/>
  <c r="T58" i="4" s="1"/>
  <c r="S11" i="4"/>
  <c r="S58" i="4" s="1"/>
  <c r="R11" i="4"/>
  <c r="R58" i="4" s="1"/>
  <c r="Q11" i="4"/>
  <c r="Q58" i="4" s="1"/>
  <c r="P11" i="4"/>
  <c r="P58" i="4" s="1"/>
  <c r="O11" i="4"/>
  <c r="O58" i="4" s="1"/>
  <c r="N11" i="4"/>
  <c r="N58" i="4" s="1"/>
  <c r="M11" i="4"/>
  <c r="M58" i="4" s="1"/>
  <c r="L11" i="4"/>
  <c r="L58" i="4" s="1"/>
  <c r="K11" i="4"/>
  <c r="K58" i="4" s="1"/>
  <c r="J11" i="4"/>
  <c r="J58" i="4" s="1"/>
  <c r="I11" i="4"/>
  <c r="I58" i="4" s="1"/>
  <c r="H11" i="4"/>
  <c r="H58" i="4" s="1"/>
  <c r="G11" i="4"/>
  <c r="G58" i="4" s="1"/>
  <c r="F11" i="4"/>
  <c r="F58" i="4" s="1"/>
  <c r="E11" i="4"/>
  <c r="E58" i="4" s="1"/>
  <c r="D11" i="4"/>
  <c r="D58" i="4" s="1"/>
  <c r="C11" i="4"/>
  <c r="C58" i="4" s="1"/>
  <c r="B11" i="4"/>
  <c r="B58" i="4" s="1"/>
  <c r="Z10" i="4"/>
  <c r="Y10" i="4"/>
  <c r="Y57" i="4" s="1"/>
  <c r="Y8" i="5" s="1"/>
  <c r="X10" i="4"/>
  <c r="X26" i="4" s="1"/>
  <c r="W10" i="4"/>
  <c r="W57" i="4" s="1"/>
  <c r="W8" i="5" s="1"/>
  <c r="V10" i="4"/>
  <c r="V57" i="4" s="1"/>
  <c r="V8" i="5" s="1"/>
  <c r="U10" i="4"/>
  <c r="T10" i="4"/>
  <c r="S10" i="4"/>
  <c r="S26" i="4" s="1"/>
  <c r="R10" i="4"/>
  <c r="R26" i="4" s="1"/>
  <c r="Q10" i="4"/>
  <c r="Q57" i="4" s="1"/>
  <c r="Q8" i="5" s="1"/>
  <c r="P10" i="4"/>
  <c r="P57" i="4" s="1"/>
  <c r="P8" i="5" s="1"/>
  <c r="O10" i="4"/>
  <c r="O57" i="4" s="1"/>
  <c r="O8" i="5" s="1"/>
  <c r="N10" i="4"/>
  <c r="N57" i="4" s="1"/>
  <c r="N8" i="5" s="1"/>
  <c r="M10" i="4"/>
  <c r="L10" i="4"/>
  <c r="K10" i="4"/>
  <c r="J10" i="4"/>
  <c r="J57" i="4" s="1"/>
  <c r="J8" i="5" s="1"/>
  <c r="I10" i="4"/>
  <c r="I57" i="4" s="1"/>
  <c r="I8" i="5" s="1"/>
  <c r="H10" i="4"/>
  <c r="H57" i="4" s="1"/>
  <c r="H8" i="5" s="1"/>
  <c r="G10" i="4"/>
  <c r="G57" i="4" s="1"/>
  <c r="G8" i="5" s="1"/>
  <c r="F10" i="4"/>
  <c r="F57" i="4" s="1"/>
  <c r="F8" i="5" s="1"/>
  <c r="E10" i="4"/>
  <c r="D10" i="4"/>
  <c r="C10" i="4"/>
  <c r="B10" i="4"/>
  <c r="B26" i="4" s="1"/>
  <c r="Z9" i="4"/>
  <c r="Y9" i="4"/>
  <c r="X9" i="4"/>
  <c r="W9" i="4"/>
  <c r="W24" i="4" s="1"/>
  <c r="V9" i="4"/>
  <c r="V56" i="4" s="1"/>
  <c r="U9" i="4"/>
  <c r="T9" i="4"/>
  <c r="T56" i="4" s="1"/>
  <c r="S9" i="4"/>
  <c r="R9" i="4"/>
  <c r="Q9" i="4"/>
  <c r="P9" i="4"/>
  <c r="O9" i="4"/>
  <c r="O56" i="4" s="1"/>
  <c r="N9" i="4"/>
  <c r="M9" i="4"/>
  <c r="M24" i="4" s="1"/>
  <c r="L9" i="4"/>
  <c r="L56" i="4" s="1"/>
  <c r="K9" i="4"/>
  <c r="J9" i="4"/>
  <c r="I9" i="4"/>
  <c r="H9" i="4"/>
  <c r="G9" i="4"/>
  <c r="G56" i="4" s="1"/>
  <c r="F9" i="4"/>
  <c r="F24" i="4" s="1"/>
  <c r="E9" i="4"/>
  <c r="D9" i="4"/>
  <c r="D56" i="4" s="1"/>
  <c r="C9" i="4"/>
  <c r="B9" i="4"/>
  <c r="Z8" i="4"/>
  <c r="P799" i="3"/>
  <c r="N799" i="3"/>
  <c r="M799" i="3"/>
  <c r="L799" i="3"/>
  <c r="J799" i="3"/>
  <c r="H799" i="3"/>
  <c r="P735" i="3"/>
  <c r="N735" i="3"/>
  <c r="M735" i="3"/>
  <c r="L735" i="3"/>
  <c r="J735" i="3"/>
  <c r="H735" i="3"/>
  <c r="G734" i="3"/>
  <c r="F734" i="3"/>
  <c r="F724" i="3"/>
  <c r="Q685" i="3"/>
  <c r="P685" i="3"/>
  <c r="O685" i="3"/>
  <c r="N685" i="3"/>
  <c r="M685" i="3"/>
  <c r="L685" i="3"/>
  <c r="K685" i="3"/>
  <c r="J685" i="3"/>
  <c r="I685" i="3"/>
  <c r="H685" i="3"/>
  <c r="G685" i="3"/>
  <c r="F685" i="3"/>
  <c r="Q683" i="3"/>
  <c r="Q684" i="3" s="1"/>
  <c r="P683" i="3"/>
  <c r="P684" i="3" s="1"/>
  <c r="O683" i="3"/>
  <c r="O684" i="3" s="1"/>
  <c r="N683" i="3"/>
  <c r="N684" i="3" s="1"/>
  <c r="M683" i="3"/>
  <c r="M684" i="3" s="1"/>
  <c r="L683" i="3"/>
  <c r="L684" i="3" s="1"/>
  <c r="K683" i="3"/>
  <c r="K684" i="3" s="1"/>
  <c r="J683" i="3"/>
  <c r="J684" i="3" s="1"/>
  <c r="I683" i="3"/>
  <c r="I684" i="3" s="1"/>
  <c r="H683" i="3"/>
  <c r="H684" i="3" s="1"/>
  <c r="G683" i="3"/>
  <c r="G684" i="3" s="1"/>
  <c r="F683" i="3"/>
  <c r="F684" i="3" s="1"/>
  <c r="I682" i="3"/>
  <c r="F677" i="3"/>
  <c r="Q648" i="3"/>
  <c r="P648" i="3"/>
  <c r="O648" i="3"/>
  <c r="N648" i="3"/>
  <c r="M648" i="3"/>
  <c r="L648" i="3"/>
  <c r="K648" i="3"/>
  <c r="J648" i="3"/>
  <c r="I648" i="3"/>
  <c r="H648" i="3"/>
  <c r="G648" i="3"/>
  <c r="F648" i="3"/>
  <c r="Q646" i="3"/>
  <c r="Q647" i="3" s="1"/>
  <c r="P646" i="3"/>
  <c r="P647" i="3" s="1"/>
  <c r="O646" i="3"/>
  <c r="O647" i="3" s="1"/>
  <c r="N646" i="3"/>
  <c r="N647" i="3" s="1"/>
  <c r="M646" i="3"/>
  <c r="M647" i="3" s="1"/>
  <c r="L646" i="3"/>
  <c r="L647" i="3" s="1"/>
  <c r="K646" i="3"/>
  <c r="K647" i="3" s="1"/>
  <c r="J646" i="3"/>
  <c r="J647" i="3" s="1"/>
  <c r="I646" i="3"/>
  <c r="I647" i="3" s="1"/>
  <c r="H646" i="3"/>
  <c r="H647" i="3" s="1"/>
  <c r="G646" i="3"/>
  <c r="G647" i="3" s="1"/>
  <c r="F646" i="3"/>
  <c r="F647" i="3" s="1"/>
  <c r="I645" i="3"/>
  <c r="F641" i="3"/>
  <c r="Q622" i="3"/>
  <c r="P622" i="3"/>
  <c r="O622" i="3"/>
  <c r="N622" i="3"/>
  <c r="M622" i="3"/>
  <c r="L622" i="3"/>
  <c r="K622" i="3"/>
  <c r="J622" i="3"/>
  <c r="I622" i="3"/>
  <c r="H622" i="3"/>
  <c r="G622" i="3"/>
  <c r="F622" i="3"/>
  <c r="Q620" i="3"/>
  <c r="Q621" i="3" s="1"/>
  <c r="P620" i="3"/>
  <c r="P621" i="3" s="1"/>
  <c r="O620" i="3"/>
  <c r="O621" i="3" s="1"/>
  <c r="N620" i="3"/>
  <c r="N621" i="3" s="1"/>
  <c r="M620" i="3"/>
  <c r="M621" i="3" s="1"/>
  <c r="L620" i="3"/>
  <c r="L621" i="3" s="1"/>
  <c r="K620" i="3"/>
  <c r="K621" i="3" s="1"/>
  <c r="J620" i="3"/>
  <c r="J621" i="3" s="1"/>
  <c r="I620" i="3"/>
  <c r="I621" i="3" s="1"/>
  <c r="H620" i="3"/>
  <c r="H621" i="3" s="1"/>
  <c r="G620" i="3"/>
  <c r="G621" i="3" s="1"/>
  <c r="F620" i="3"/>
  <c r="F621" i="3" s="1"/>
  <c r="I619" i="3"/>
  <c r="F615" i="3"/>
  <c r="Q601" i="3"/>
  <c r="P601" i="3"/>
  <c r="O601" i="3"/>
  <c r="N601" i="3"/>
  <c r="M601" i="3"/>
  <c r="L601" i="3"/>
  <c r="K601" i="3"/>
  <c r="J601" i="3"/>
  <c r="I601" i="3"/>
  <c r="H601" i="3"/>
  <c r="G601" i="3"/>
  <c r="F601" i="3"/>
  <c r="Q599" i="3"/>
  <c r="Q600" i="3" s="1"/>
  <c r="P599" i="3"/>
  <c r="P600" i="3" s="1"/>
  <c r="O599" i="3"/>
  <c r="O600" i="3" s="1"/>
  <c r="N599" i="3"/>
  <c r="N600" i="3" s="1"/>
  <c r="M599" i="3"/>
  <c r="M600" i="3" s="1"/>
  <c r="L599" i="3"/>
  <c r="L600" i="3" s="1"/>
  <c r="K599" i="3"/>
  <c r="K600" i="3" s="1"/>
  <c r="J599" i="3"/>
  <c r="J600" i="3" s="1"/>
  <c r="I599" i="3"/>
  <c r="I600" i="3" s="1"/>
  <c r="H599" i="3"/>
  <c r="H600" i="3" s="1"/>
  <c r="G599" i="3"/>
  <c r="G600" i="3" s="1"/>
  <c r="F599" i="3"/>
  <c r="F600" i="3" s="1"/>
  <c r="I598" i="3"/>
  <c r="F593" i="3"/>
  <c r="F577" i="3"/>
  <c r="C544" i="3"/>
  <c r="Q536" i="3"/>
  <c r="P536" i="3"/>
  <c r="O536" i="3"/>
  <c r="N536" i="3"/>
  <c r="M536" i="3"/>
  <c r="L536" i="3"/>
  <c r="K536" i="3"/>
  <c r="J536" i="3"/>
  <c r="I536" i="3"/>
  <c r="H536" i="3"/>
  <c r="G536" i="3"/>
  <c r="F536" i="3"/>
  <c r="Q534" i="3"/>
  <c r="Q535" i="3" s="1"/>
  <c r="P534" i="3"/>
  <c r="P535" i="3" s="1"/>
  <c r="O534" i="3"/>
  <c r="O535" i="3" s="1"/>
  <c r="N534" i="3"/>
  <c r="N535" i="3" s="1"/>
  <c r="M534" i="3"/>
  <c r="M535" i="3" s="1"/>
  <c r="L534" i="3"/>
  <c r="L535" i="3" s="1"/>
  <c r="K534" i="3"/>
  <c r="K535" i="3" s="1"/>
  <c r="J534" i="3"/>
  <c r="J535" i="3" s="1"/>
  <c r="I534" i="3"/>
  <c r="I535" i="3" s="1"/>
  <c r="H534" i="3"/>
  <c r="H535" i="3" s="1"/>
  <c r="G534" i="3"/>
  <c r="G535" i="3" s="1"/>
  <c r="F534" i="3"/>
  <c r="F535" i="3" s="1"/>
  <c r="I532" i="3"/>
  <c r="H532" i="3"/>
  <c r="F532" i="3"/>
  <c r="F528" i="3"/>
  <c r="Q507" i="3"/>
  <c r="P507" i="3"/>
  <c r="O507" i="3"/>
  <c r="N507" i="3"/>
  <c r="M507" i="3"/>
  <c r="L507" i="3"/>
  <c r="K507" i="3"/>
  <c r="J507" i="3"/>
  <c r="I507" i="3"/>
  <c r="H507" i="3"/>
  <c r="G507" i="3"/>
  <c r="F507" i="3"/>
  <c r="Q505" i="3"/>
  <c r="Q506" i="3" s="1"/>
  <c r="P505" i="3"/>
  <c r="P506" i="3" s="1"/>
  <c r="O505" i="3"/>
  <c r="O506" i="3" s="1"/>
  <c r="N505" i="3"/>
  <c r="N506" i="3" s="1"/>
  <c r="M505" i="3"/>
  <c r="M506" i="3" s="1"/>
  <c r="L505" i="3"/>
  <c r="L506" i="3" s="1"/>
  <c r="K505" i="3"/>
  <c r="K506" i="3" s="1"/>
  <c r="J505" i="3"/>
  <c r="J506" i="3" s="1"/>
  <c r="I505" i="3"/>
  <c r="I506" i="3" s="1"/>
  <c r="H505" i="3"/>
  <c r="H506" i="3" s="1"/>
  <c r="G505" i="3"/>
  <c r="G506" i="3" s="1"/>
  <c r="F505" i="3"/>
  <c r="F506" i="3" s="1"/>
  <c r="I503" i="3"/>
  <c r="H503" i="3"/>
  <c r="F503" i="3"/>
  <c r="F498" i="3"/>
  <c r="C490" i="3"/>
  <c r="Q482" i="3"/>
  <c r="P482" i="3"/>
  <c r="O482" i="3"/>
  <c r="N482" i="3"/>
  <c r="M482" i="3"/>
  <c r="L482" i="3"/>
  <c r="K482" i="3"/>
  <c r="J482" i="3"/>
  <c r="I482" i="3"/>
  <c r="H482" i="3"/>
  <c r="G482" i="3"/>
  <c r="F482" i="3"/>
  <c r="Q480" i="3"/>
  <c r="Q481" i="3" s="1"/>
  <c r="P480" i="3"/>
  <c r="P481" i="3" s="1"/>
  <c r="O480" i="3"/>
  <c r="O481" i="3" s="1"/>
  <c r="N480" i="3"/>
  <c r="N481" i="3" s="1"/>
  <c r="M480" i="3"/>
  <c r="M481" i="3" s="1"/>
  <c r="L480" i="3"/>
  <c r="L481" i="3" s="1"/>
  <c r="K480" i="3"/>
  <c r="K481" i="3" s="1"/>
  <c r="J480" i="3"/>
  <c r="J481" i="3" s="1"/>
  <c r="I480" i="3"/>
  <c r="I481" i="3" s="1"/>
  <c r="H480" i="3"/>
  <c r="H481" i="3" s="1"/>
  <c r="G480" i="3"/>
  <c r="G481" i="3" s="1"/>
  <c r="F480" i="3"/>
  <c r="F481" i="3" s="1"/>
  <c r="Q479" i="3"/>
  <c r="P479" i="3"/>
  <c r="O479" i="3"/>
  <c r="N479" i="3"/>
  <c r="M479" i="3"/>
  <c r="L479" i="3"/>
  <c r="K479" i="3"/>
  <c r="J479" i="3"/>
  <c r="I479" i="3"/>
  <c r="H479" i="3"/>
  <c r="G479" i="3"/>
  <c r="F479" i="3"/>
  <c r="Q478" i="3"/>
  <c r="P478" i="3"/>
  <c r="O478" i="3"/>
  <c r="N478" i="3"/>
  <c r="M478" i="3"/>
  <c r="L478" i="3"/>
  <c r="K478" i="3"/>
  <c r="J478" i="3"/>
  <c r="I478" i="3"/>
  <c r="H478" i="3"/>
  <c r="G478" i="3"/>
  <c r="F478" i="3"/>
  <c r="F473" i="3"/>
  <c r="Q458" i="3"/>
  <c r="P458" i="3"/>
  <c r="O458" i="3"/>
  <c r="N458" i="3"/>
  <c r="M458" i="3"/>
  <c r="L458" i="3"/>
  <c r="K458" i="3"/>
  <c r="J458" i="3"/>
  <c r="I458" i="3"/>
  <c r="H458" i="3"/>
  <c r="G458" i="3"/>
  <c r="F458" i="3"/>
  <c r="F457" i="3"/>
  <c r="Q416" i="3"/>
  <c r="P416" i="3"/>
  <c r="O416" i="3"/>
  <c r="N416" i="3"/>
  <c r="M416" i="3"/>
  <c r="L416" i="3"/>
  <c r="K416" i="3"/>
  <c r="J416" i="3"/>
  <c r="I416" i="3"/>
  <c r="H416" i="3"/>
  <c r="G416" i="3"/>
  <c r="F416" i="3"/>
  <c r="Q414" i="3"/>
  <c r="Q415" i="3" s="1"/>
  <c r="P414" i="3"/>
  <c r="P415" i="3" s="1"/>
  <c r="O414" i="3"/>
  <c r="O415" i="3" s="1"/>
  <c r="N414" i="3"/>
  <c r="N415" i="3" s="1"/>
  <c r="M414" i="3"/>
  <c r="M415" i="3" s="1"/>
  <c r="L414" i="3"/>
  <c r="L415" i="3" s="1"/>
  <c r="K414" i="3"/>
  <c r="K415" i="3" s="1"/>
  <c r="J414" i="3"/>
  <c r="J415" i="3" s="1"/>
  <c r="I414" i="3"/>
  <c r="I415" i="3" s="1"/>
  <c r="H414" i="3"/>
  <c r="H415" i="3" s="1"/>
  <c r="G414" i="3"/>
  <c r="G415" i="3" s="1"/>
  <c r="F414" i="3"/>
  <c r="F415" i="3" s="1"/>
  <c r="G413" i="3"/>
  <c r="F413" i="3"/>
  <c r="Q408" i="3"/>
  <c r="P408" i="3"/>
  <c r="O408" i="3"/>
  <c r="N408" i="3"/>
  <c r="M408" i="3"/>
  <c r="L408" i="3"/>
  <c r="K408" i="3"/>
  <c r="J408" i="3"/>
  <c r="I408" i="3"/>
  <c r="H408" i="3"/>
  <c r="G408" i="3"/>
  <c r="F408" i="3"/>
  <c r="F407" i="3"/>
  <c r="Q376" i="3"/>
  <c r="P376" i="3"/>
  <c r="O376" i="3"/>
  <c r="N376" i="3"/>
  <c r="M376" i="3"/>
  <c r="L376" i="3"/>
  <c r="K376" i="3"/>
  <c r="J376" i="3"/>
  <c r="I376" i="3"/>
  <c r="H376" i="3"/>
  <c r="G376" i="3"/>
  <c r="F376" i="3"/>
  <c r="Q374" i="3"/>
  <c r="Q375" i="3" s="1"/>
  <c r="P374" i="3"/>
  <c r="P375" i="3" s="1"/>
  <c r="O374" i="3"/>
  <c r="O375" i="3" s="1"/>
  <c r="N374" i="3"/>
  <c r="N375" i="3" s="1"/>
  <c r="M374" i="3"/>
  <c r="M375" i="3" s="1"/>
  <c r="L374" i="3"/>
  <c r="L375" i="3" s="1"/>
  <c r="K374" i="3"/>
  <c r="K375" i="3" s="1"/>
  <c r="J374" i="3"/>
  <c r="J375" i="3" s="1"/>
  <c r="I374" i="3"/>
  <c r="I375" i="3" s="1"/>
  <c r="H374" i="3"/>
  <c r="H375" i="3" s="1"/>
  <c r="G374" i="3"/>
  <c r="G375" i="3" s="1"/>
  <c r="F374" i="3"/>
  <c r="F375" i="3" s="1"/>
  <c r="F373" i="3"/>
  <c r="Q369" i="3"/>
  <c r="P369" i="3"/>
  <c r="O369" i="3"/>
  <c r="N369" i="3"/>
  <c r="M369" i="3"/>
  <c r="L369" i="3"/>
  <c r="K369" i="3"/>
  <c r="J369" i="3"/>
  <c r="I369" i="3"/>
  <c r="H369" i="3"/>
  <c r="G369" i="3"/>
  <c r="F369" i="3"/>
  <c r="F368" i="3"/>
  <c r="Q347" i="3"/>
  <c r="P347" i="3"/>
  <c r="O347" i="3"/>
  <c r="N347" i="3"/>
  <c r="M347" i="3"/>
  <c r="L347" i="3"/>
  <c r="K347" i="3"/>
  <c r="J347" i="3"/>
  <c r="I347" i="3"/>
  <c r="H347" i="3"/>
  <c r="G347" i="3"/>
  <c r="F347" i="3"/>
  <c r="Q345" i="3"/>
  <c r="Q346" i="3" s="1"/>
  <c r="P345" i="3"/>
  <c r="P346" i="3" s="1"/>
  <c r="O345" i="3"/>
  <c r="O346" i="3" s="1"/>
  <c r="N345" i="3"/>
  <c r="N346" i="3" s="1"/>
  <c r="M345" i="3"/>
  <c r="M346" i="3" s="1"/>
  <c r="L345" i="3"/>
  <c r="L346" i="3" s="1"/>
  <c r="K345" i="3"/>
  <c r="K346" i="3" s="1"/>
  <c r="J345" i="3"/>
  <c r="J346" i="3" s="1"/>
  <c r="I345" i="3"/>
  <c r="I346" i="3" s="1"/>
  <c r="H345" i="3"/>
  <c r="H346" i="3" s="1"/>
  <c r="G345" i="3"/>
  <c r="G346" i="3" s="1"/>
  <c r="F345" i="3"/>
  <c r="F346" i="3" s="1"/>
  <c r="F344" i="3"/>
  <c r="H343" i="3"/>
  <c r="G343" i="3"/>
  <c r="F343" i="3"/>
  <c r="Q340" i="3"/>
  <c r="P340" i="3"/>
  <c r="O340" i="3"/>
  <c r="N340" i="3"/>
  <c r="M340" i="3"/>
  <c r="L340" i="3"/>
  <c r="K340" i="3"/>
  <c r="J340" i="3"/>
  <c r="I340" i="3"/>
  <c r="H340" i="3"/>
  <c r="G340" i="3"/>
  <c r="F340" i="3"/>
  <c r="F339" i="3"/>
  <c r="Q323" i="3"/>
  <c r="P323" i="3"/>
  <c r="O323" i="3"/>
  <c r="N323" i="3"/>
  <c r="M323" i="3"/>
  <c r="L323" i="3"/>
  <c r="K323" i="3"/>
  <c r="J323" i="3"/>
  <c r="I323" i="3"/>
  <c r="H323" i="3"/>
  <c r="G323" i="3"/>
  <c r="F323" i="3"/>
  <c r="Q321" i="3"/>
  <c r="Q322" i="3" s="1"/>
  <c r="P321" i="3"/>
  <c r="P322" i="3" s="1"/>
  <c r="O321" i="3"/>
  <c r="O322" i="3" s="1"/>
  <c r="N321" i="3"/>
  <c r="N322" i="3" s="1"/>
  <c r="M321" i="3"/>
  <c r="M322" i="3" s="1"/>
  <c r="L321" i="3"/>
  <c r="L322" i="3" s="1"/>
  <c r="K321" i="3"/>
  <c r="K322" i="3" s="1"/>
  <c r="J321" i="3"/>
  <c r="J322" i="3" s="1"/>
  <c r="I321" i="3"/>
  <c r="I322" i="3" s="1"/>
  <c r="H321" i="3"/>
  <c r="H322" i="3" s="1"/>
  <c r="G321" i="3"/>
  <c r="G322" i="3" s="1"/>
  <c r="F321" i="3"/>
  <c r="F322" i="3" s="1"/>
  <c r="F320" i="3"/>
  <c r="Q319" i="3"/>
  <c r="P319" i="3"/>
  <c r="O319" i="3"/>
  <c r="N319" i="3"/>
  <c r="M319" i="3"/>
  <c r="L319" i="3"/>
  <c r="K319" i="3"/>
  <c r="J319" i="3"/>
  <c r="I319" i="3"/>
  <c r="H319" i="3"/>
  <c r="G319" i="3"/>
  <c r="F319" i="3"/>
  <c r="F314" i="3"/>
  <c r="F801" i="3" s="1"/>
  <c r="F312" i="3"/>
  <c r="Q299" i="3"/>
  <c r="P299" i="3"/>
  <c r="O299" i="3"/>
  <c r="N299" i="3"/>
  <c r="M299" i="3"/>
  <c r="L299" i="3"/>
  <c r="K299" i="3"/>
  <c r="J299" i="3"/>
  <c r="I299" i="3"/>
  <c r="H299" i="3"/>
  <c r="G299" i="3"/>
  <c r="F299" i="3"/>
  <c r="F298" i="3"/>
  <c r="Q259" i="3"/>
  <c r="P259" i="3"/>
  <c r="O259" i="3"/>
  <c r="N259" i="3"/>
  <c r="M259" i="3"/>
  <c r="L259" i="3"/>
  <c r="K259" i="3"/>
  <c r="J259" i="3"/>
  <c r="I259" i="3"/>
  <c r="H259" i="3"/>
  <c r="G259" i="3"/>
  <c r="F259" i="3"/>
  <c r="Q257" i="3"/>
  <c r="Q258" i="3" s="1"/>
  <c r="P257" i="3"/>
  <c r="P258" i="3" s="1"/>
  <c r="O257" i="3"/>
  <c r="O258" i="3" s="1"/>
  <c r="N257" i="3"/>
  <c r="N258" i="3" s="1"/>
  <c r="M257" i="3"/>
  <c r="M258" i="3" s="1"/>
  <c r="L257" i="3"/>
  <c r="L258" i="3" s="1"/>
  <c r="K257" i="3"/>
  <c r="K258" i="3" s="1"/>
  <c r="J257" i="3"/>
  <c r="J258" i="3" s="1"/>
  <c r="I257" i="3"/>
  <c r="I258" i="3" s="1"/>
  <c r="H257" i="3"/>
  <c r="H258" i="3" s="1"/>
  <c r="G257" i="3"/>
  <c r="G258" i="3" s="1"/>
  <c r="F257" i="3"/>
  <c r="F258" i="3" s="1"/>
  <c r="H256" i="3"/>
  <c r="G256" i="3"/>
  <c r="F256" i="3"/>
  <c r="F255" i="3"/>
  <c r="Q251" i="3"/>
  <c r="P251" i="3"/>
  <c r="O251" i="3"/>
  <c r="N251" i="3"/>
  <c r="M251" i="3"/>
  <c r="L251" i="3"/>
  <c r="K251" i="3"/>
  <c r="J251" i="3"/>
  <c r="I251" i="3"/>
  <c r="H251" i="3"/>
  <c r="G251" i="3"/>
  <c r="F251" i="3"/>
  <c r="F250" i="3"/>
  <c r="Q226" i="3"/>
  <c r="P226" i="3"/>
  <c r="O226" i="3"/>
  <c r="N226" i="3"/>
  <c r="M226" i="3"/>
  <c r="L226" i="3"/>
  <c r="K226" i="3"/>
  <c r="J226" i="3"/>
  <c r="I226" i="3"/>
  <c r="H226" i="3"/>
  <c r="G226" i="3"/>
  <c r="F226" i="3"/>
  <c r="Q224" i="3"/>
  <c r="Q225" i="3" s="1"/>
  <c r="P224" i="3"/>
  <c r="P225" i="3" s="1"/>
  <c r="O224" i="3"/>
  <c r="O225" i="3" s="1"/>
  <c r="N224" i="3"/>
  <c r="N225" i="3" s="1"/>
  <c r="M224" i="3"/>
  <c r="M225" i="3" s="1"/>
  <c r="L224" i="3"/>
  <c r="L225" i="3" s="1"/>
  <c r="K224" i="3"/>
  <c r="K225" i="3" s="1"/>
  <c r="J224" i="3"/>
  <c r="J225" i="3" s="1"/>
  <c r="I224" i="3"/>
  <c r="I225" i="3" s="1"/>
  <c r="H224" i="3"/>
  <c r="H225" i="3" s="1"/>
  <c r="G224" i="3"/>
  <c r="G225" i="3" s="1"/>
  <c r="F224" i="3"/>
  <c r="F225" i="3" s="1"/>
  <c r="H223" i="3"/>
  <c r="G223" i="3"/>
  <c r="F223" i="3"/>
  <c r="F222" i="3"/>
  <c r="Q219" i="3"/>
  <c r="P219" i="3"/>
  <c r="O219" i="3"/>
  <c r="N219" i="3"/>
  <c r="M219" i="3"/>
  <c r="L219" i="3"/>
  <c r="K219" i="3"/>
  <c r="J219" i="3"/>
  <c r="I219" i="3"/>
  <c r="H219" i="3"/>
  <c r="G219" i="3"/>
  <c r="F219" i="3"/>
  <c r="F218" i="3"/>
  <c r="Q199" i="3"/>
  <c r="P199" i="3"/>
  <c r="O199" i="3"/>
  <c r="N199" i="3"/>
  <c r="M199" i="3"/>
  <c r="L199" i="3"/>
  <c r="K199" i="3"/>
  <c r="J199" i="3"/>
  <c r="I199" i="3"/>
  <c r="H199" i="3"/>
  <c r="G199" i="3"/>
  <c r="F199" i="3"/>
  <c r="Q197" i="3"/>
  <c r="Q198" i="3" s="1"/>
  <c r="P197" i="3"/>
  <c r="P198" i="3" s="1"/>
  <c r="O197" i="3"/>
  <c r="O198" i="3" s="1"/>
  <c r="N197" i="3"/>
  <c r="N198" i="3" s="1"/>
  <c r="M197" i="3"/>
  <c r="M198" i="3" s="1"/>
  <c r="L197" i="3"/>
  <c r="L198" i="3" s="1"/>
  <c r="K197" i="3"/>
  <c r="K198" i="3" s="1"/>
  <c r="J197" i="3"/>
  <c r="J198" i="3" s="1"/>
  <c r="I197" i="3"/>
  <c r="I198" i="3" s="1"/>
  <c r="H197" i="3"/>
  <c r="H198" i="3" s="1"/>
  <c r="G197" i="3"/>
  <c r="G198" i="3" s="1"/>
  <c r="F197" i="3"/>
  <c r="F198" i="3" s="1"/>
  <c r="H196" i="3"/>
  <c r="F196" i="3"/>
  <c r="G195" i="3"/>
  <c r="F195" i="3"/>
  <c r="Q192" i="3"/>
  <c r="P192" i="3"/>
  <c r="O192" i="3"/>
  <c r="N192" i="3"/>
  <c r="M192" i="3"/>
  <c r="L192" i="3"/>
  <c r="K192" i="3"/>
  <c r="J192" i="3"/>
  <c r="I192" i="3"/>
  <c r="H192" i="3"/>
  <c r="G192" i="3"/>
  <c r="F192" i="3"/>
  <c r="F191" i="3"/>
  <c r="Q177" i="3"/>
  <c r="P177" i="3"/>
  <c r="O177" i="3"/>
  <c r="N177" i="3"/>
  <c r="M177" i="3"/>
  <c r="L177" i="3"/>
  <c r="K177" i="3"/>
  <c r="J177" i="3"/>
  <c r="I177" i="3"/>
  <c r="H177" i="3"/>
  <c r="G177" i="3"/>
  <c r="F177" i="3"/>
  <c r="G174" i="3"/>
  <c r="F174" i="3"/>
  <c r="F173" i="3"/>
  <c r="F169" i="3"/>
  <c r="F737" i="3" s="1"/>
  <c r="Q152" i="3"/>
  <c r="O152" i="3"/>
  <c r="I152" i="3"/>
  <c r="Q150" i="3"/>
  <c r="P150" i="3"/>
  <c r="O150" i="3"/>
  <c r="N150" i="3"/>
  <c r="M150" i="3"/>
  <c r="L150" i="3"/>
  <c r="K150" i="3"/>
  <c r="J150" i="3"/>
  <c r="I150" i="3"/>
  <c r="H150" i="3"/>
  <c r="F150" i="3"/>
  <c r="Q130" i="3"/>
  <c r="P130" i="3"/>
  <c r="O130" i="3"/>
  <c r="N130" i="3"/>
  <c r="M130" i="3"/>
  <c r="L130" i="3"/>
  <c r="K130" i="3"/>
  <c r="J130" i="3"/>
  <c r="I130" i="3"/>
  <c r="H130" i="3"/>
  <c r="Q116" i="3"/>
  <c r="P116" i="3"/>
  <c r="O116" i="3"/>
  <c r="N116" i="3"/>
  <c r="M116" i="3"/>
  <c r="L116" i="3"/>
  <c r="K116" i="3"/>
  <c r="J116" i="3"/>
  <c r="I116" i="3"/>
  <c r="H116" i="3"/>
  <c r="G116" i="3"/>
  <c r="F116" i="3"/>
  <c r="P124" i="3"/>
  <c r="AJ47" i="4"/>
  <c r="AI47" i="4"/>
  <c r="M124" i="3"/>
  <c r="AF47" i="4"/>
  <c r="AB47" i="4"/>
  <c r="AA47" i="4"/>
  <c r="I533" i="3"/>
  <c r="H533" i="3"/>
  <c r="F533" i="3"/>
  <c r="J532" i="3"/>
  <c r="G532" i="3"/>
  <c r="I504" i="3"/>
  <c r="H504" i="3"/>
  <c r="F504" i="3"/>
  <c r="G503" i="3"/>
  <c r="Q86" i="3"/>
  <c r="P86" i="3"/>
  <c r="O86" i="3"/>
  <c r="N86" i="3"/>
  <c r="M86" i="3"/>
  <c r="L86" i="3"/>
  <c r="K86" i="3"/>
  <c r="J86" i="3"/>
  <c r="I86" i="3"/>
  <c r="H86" i="3"/>
  <c r="G86" i="3"/>
  <c r="F86" i="3"/>
  <c r="J682" i="3"/>
  <c r="H682" i="3"/>
  <c r="G682" i="3"/>
  <c r="F682" i="3"/>
  <c r="J645" i="3"/>
  <c r="H645" i="3"/>
  <c r="G645" i="3"/>
  <c r="F645" i="3"/>
  <c r="J619" i="3"/>
  <c r="H619" i="3"/>
  <c r="G619" i="3"/>
  <c r="F619" i="3"/>
  <c r="J598" i="3"/>
  <c r="H598" i="3"/>
  <c r="G598" i="3"/>
  <c r="F598" i="3"/>
  <c r="Q69" i="3"/>
  <c r="P69" i="3"/>
  <c r="O69" i="3"/>
  <c r="N69" i="3"/>
  <c r="M69" i="3"/>
  <c r="L69" i="3"/>
  <c r="K69" i="3"/>
  <c r="J69" i="3"/>
  <c r="I69" i="3"/>
  <c r="H69" i="3"/>
  <c r="G69" i="3"/>
  <c r="F69" i="3"/>
  <c r="P66" i="3"/>
  <c r="F66" i="3"/>
  <c r="H413" i="3"/>
  <c r="G373" i="3"/>
  <c r="H372" i="3"/>
  <c r="G372" i="3"/>
  <c r="H344" i="3"/>
  <c r="G344" i="3"/>
  <c r="I343" i="3"/>
  <c r="H320" i="3"/>
  <c r="G320" i="3"/>
  <c r="Q45" i="3"/>
  <c r="P45" i="3"/>
  <c r="O45" i="3"/>
  <c r="N45" i="3"/>
  <c r="M45" i="3"/>
  <c r="L45" i="3"/>
  <c r="K45" i="3"/>
  <c r="J45" i="3"/>
  <c r="I45" i="3"/>
  <c r="H45" i="3"/>
  <c r="G45" i="3"/>
  <c r="F45" i="3"/>
  <c r="H222" i="3"/>
  <c r="G196" i="3"/>
  <c r="H195" i="3"/>
  <c r="F32" i="3"/>
  <c r="F175" i="3" s="1"/>
  <c r="F176" i="3" s="1"/>
  <c r="G173" i="3"/>
  <c r="Q24" i="3"/>
  <c r="P24" i="3"/>
  <c r="O24" i="3"/>
  <c r="N24" i="3"/>
  <c r="M24" i="3"/>
  <c r="L24" i="3"/>
  <c r="K24" i="3"/>
  <c r="J24" i="3"/>
  <c r="I24" i="3"/>
  <c r="H24" i="3"/>
  <c r="G24" i="3"/>
  <c r="F24" i="3"/>
  <c r="Q21" i="3"/>
  <c r="P21" i="3"/>
  <c r="I21" i="3"/>
  <c r="Q18" i="3"/>
  <c r="P18" i="3"/>
  <c r="O18" i="3"/>
  <c r="N18" i="3"/>
  <c r="M18" i="3"/>
  <c r="L18" i="3"/>
  <c r="K18" i="3"/>
  <c r="J18" i="3"/>
  <c r="I18" i="3"/>
  <c r="H18" i="3"/>
  <c r="G18" i="3"/>
  <c r="F18" i="3"/>
  <c r="M17" i="3"/>
  <c r="F156" i="3"/>
  <c r="AL114" i="4"/>
  <c r="AK114" i="4"/>
  <c r="AJ114" i="4"/>
  <c r="AI114" i="4"/>
  <c r="AG114" i="4"/>
  <c r="AF114" i="4"/>
  <c r="AE114" i="4"/>
  <c r="AD114" i="4"/>
  <c r="AC114" i="4"/>
  <c r="AB114" i="4"/>
  <c r="AA114" i="4"/>
  <c r="Z113" i="4"/>
  <c r="Y113" i="4"/>
  <c r="Y112" i="4"/>
  <c r="C92" i="2"/>
  <c r="H87" i="2"/>
  <c r="J87" i="2" s="1"/>
  <c r="K86" i="2"/>
  <c r="J86" i="2"/>
  <c r="K85" i="2"/>
  <c r="J85" i="2"/>
  <c r="K84" i="2"/>
  <c r="J84" i="2"/>
  <c r="K83" i="2"/>
  <c r="J83" i="2"/>
  <c r="K82" i="2"/>
  <c r="J82" i="2"/>
  <c r="K81" i="2"/>
  <c r="J81" i="2"/>
  <c r="K80" i="2"/>
  <c r="J80" i="2"/>
  <c r="G150" i="3"/>
  <c r="I61" i="2"/>
  <c r="I42" i="2"/>
  <c r="E26" i="2"/>
  <c r="D26" i="2"/>
  <c r="AO19"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AO12" i="2"/>
  <c r="AN12" i="2"/>
  <c r="AM12" i="2"/>
  <c r="AL12"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N95" i="2" l="1"/>
  <c r="M95" i="2"/>
  <c r="E95" i="2"/>
  <c r="D95" i="2"/>
  <c r="L95" i="2"/>
  <c r="K95" i="2"/>
  <c r="C95" i="2"/>
  <c r="F95" i="2"/>
  <c r="J95" i="2"/>
  <c r="I95" i="2"/>
  <c r="H95" i="2"/>
  <c r="G95" i="2"/>
  <c r="F311" i="3"/>
  <c r="F372" i="3"/>
  <c r="Q15" i="3"/>
  <c r="R15" i="3" s="1"/>
  <c r="F17" i="3"/>
  <c r="K311" i="3"/>
  <c r="I173" i="3"/>
  <c r="G533" i="3"/>
  <c r="O311" i="3"/>
  <c r="O17" i="3"/>
  <c r="K343" i="3"/>
  <c r="H66" i="3"/>
  <c r="M66" i="3"/>
  <c r="I103" i="3"/>
  <c r="AD121" i="4" s="1"/>
  <c r="Z112" i="4"/>
  <c r="C37" i="1" s="1"/>
  <c r="O66" i="3"/>
  <c r="K124" i="3"/>
  <c r="N66" i="3"/>
  <c r="I755" i="3"/>
  <c r="Q755" i="3"/>
  <c r="N733" i="3"/>
  <c r="J755" i="3"/>
  <c r="H733" i="3"/>
  <c r="P733" i="3"/>
  <c r="F470" i="3"/>
  <c r="F768" i="3" s="1"/>
  <c r="I149" i="3"/>
  <c r="I305" i="3" s="1"/>
  <c r="Q149" i="3"/>
  <c r="Q305" i="3" s="1"/>
  <c r="O733" i="3"/>
  <c r="H17" i="3"/>
  <c r="P17" i="3"/>
  <c r="K21" i="3"/>
  <c r="O124" i="3"/>
  <c r="K149" i="3"/>
  <c r="K305" i="3" s="1"/>
  <c r="L311" i="3"/>
  <c r="M311" i="3"/>
  <c r="F733" i="3"/>
  <c r="I66" i="3"/>
  <c r="Q66" i="3"/>
  <c r="H127" i="3"/>
  <c r="H766" i="3" s="1"/>
  <c r="O755" i="3"/>
  <c r="N311" i="3"/>
  <c r="F590" i="3"/>
  <c r="F769" i="3" s="1"/>
  <c r="G17" i="3"/>
  <c r="G103" i="3"/>
  <c r="AB121" i="4" s="1"/>
  <c r="J149" i="3"/>
  <c r="J305" i="3" s="1"/>
  <c r="H755" i="3"/>
  <c r="P755" i="3"/>
  <c r="M733" i="3"/>
  <c r="G311" i="3"/>
  <c r="R303" i="3"/>
  <c r="G593" i="3"/>
  <c r="I593" i="3"/>
  <c r="J314" i="3"/>
  <c r="J801" i="3" s="1"/>
  <c r="H103" i="3"/>
  <c r="AC121" i="4" s="1"/>
  <c r="H373" i="3"/>
  <c r="H21" i="3"/>
  <c r="G412" i="3"/>
  <c r="N17" i="3"/>
  <c r="J21" i="3"/>
  <c r="G66" i="3"/>
  <c r="G504" i="3"/>
  <c r="F124" i="3"/>
  <c r="F167" i="3"/>
  <c r="F757" i="3" s="1"/>
  <c r="I311" i="3"/>
  <c r="Q311" i="3"/>
  <c r="G255" i="3"/>
  <c r="I320" i="3"/>
  <c r="J66" i="3"/>
  <c r="J533" i="3"/>
  <c r="J311" i="3"/>
  <c r="G473" i="3"/>
  <c r="I15" i="3"/>
  <c r="F141" i="3"/>
  <c r="J15" i="3"/>
  <c r="K15" i="3"/>
  <c r="O21" i="3"/>
  <c r="I372" i="3"/>
  <c r="N124" i="3"/>
  <c r="N45" i="4"/>
  <c r="V45" i="4"/>
  <c r="F45" i="4"/>
  <c r="AG19" i="4"/>
  <c r="M8" i="4"/>
  <c r="K8" i="4"/>
  <c r="K25" i="4" s="1"/>
  <c r="L124" i="4" s="1"/>
  <c r="Z25" i="4"/>
  <c r="AE19" i="4"/>
  <c r="L89" i="4"/>
  <c r="K7" i="4"/>
  <c r="K54" i="4" s="1"/>
  <c r="V42" i="4"/>
  <c r="B7" i="4"/>
  <c r="B54" i="4" s="1"/>
  <c r="J7" i="4"/>
  <c r="J54" i="4" s="1"/>
  <c r="Z19" i="4"/>
  <c r="R7" i="4"/>
  <c r="R54" i="4" s="1"/>
  <c r="C137" i="4"/>
  <c r="K137" i="4"/>
  <c r="S137" i="4"/>
  <c r="U31" i="4"/>
  <c r="U37" i="4" s="1"/>
  <c r="I45" i="4"/>
  <c r="AD115" i="4"/>
  <c r="AF15" i="4"/>
  <c r="AJ15" i="4"/>
  <c r="E137" i="4"/>
  <c r="V8" i="4"/>
  <c r="V6" i="4" s="1"/>
  <c r="AC19" i="4"/>
  <c r="AK19" i="4"/>
  <c r="AF19" i="4"/>
  <c r="G45" i="4"/>
  <c r="W45" i="4"/>
  <c r="O7" i="4"/>
  <c r="O54" i="4" s="1"/>
  <c r="AL19" i="4"/>
  <c r="O24" i="4"/>
  <c r="O72" i="4" s="1"/>
  <c r="R45" i="4"/>
  <c r="V7" i="4"/>
  <c r="V54" i="4" s="1"/>
  <c r="G26" i="4"/>
  <c r="H125" i="4" s="1"/>
  <c r="G42" i="4"/>
  <c r="Y45" i="4"/>
  <c r="F773" i="3"/>
  <c r="G773" i="3" s="1"/>
  <c r="N7" i="4"/>
  <c r="N54" i="4" s="1"/>
  <c r="Q45" i="4"/>
  <c r="B37" i="1"/>
  <c r="W7" i="4"/>
  <c r="W54" i="4" s="1"/>
  <c r="Q26" i="4"/>
  <c r="M42" i="4"/>
  <c r="H42" i="4"/>
  <c r="AH15" i="4"/>
  <c r="V26" i="4"/>
  <c r="W125" i="4" s="1"/>
  <c r="Q42" i="4"/>
  <c r="L8" i="4"/>
  <c r="L6" i="4" s="1"/>
  <c r="AI15" i="4"/>
  <c r="B78" i="4"/>
  <c r="G7" i="4"/>
  <c r="G54" i="4" s="1"/>
  <c r="T79" i="4"/>
  <c r="G24" i="4"/>
  <c r="G72" i="4" s="1"/>
  <c r="Z6" i="4"/>
  <c r="E8" i="4"/>
  <c r="E6" i="4" s="1"/>
  <c r="U8" i="4"/>
  <c r="U25" i="4" s="1"/>
  <c r="V123" i="4" s="1"/>
  <c r="W56" i="4"/>
  <c r="N90" i="4"/>
  <c r="N92" i="4" s="1"/>
  <c r="R8" i="4"/>
  <c r="F137" i="4"/>
  <c r="AE115" i="4"/>
  <c r="J8" i="4"/>
  <c r="J55" i="4" s="1"/>
  <c r="J7" i="5" s="1"/>
  <c r="AG15" i="4"/>
  <c r="F26" i="4"/>
  <c r="G125" i="4" s="1"/>
  <c r="B57" i="4"/>
  <c r="B8" i="5" s="1"/>
  <c r="W90" i="4"/>
  <c r="W92" i="4" s="1"/>
  <c r="R57" i="4"/>
  <c r="R8" i="5" s="1"/>
  <c r="D137" i="4"/>
  <c r="L137" i="4"/>
  <c r="T137" i="4"/>
  <c r="L24" i="4"/>
  <c r="L72" i="4" s="1"/>
  <c r="P26" i="4"/>
  <c r="P73" i="4" s="1"/>
  <c r="M45" i="4"/>
  <c r="X57" i="4"/>
  <c r="X8" i="5" s="1"/>
  <c r="AG115" i="4"/>
  <c r="B8" i="4"/>
  <c r="B55" i="4" s="1"/>
  <c r="B7" i="5" s="1"/>
  <c r="C8" i="4"/>
  <c r="C6" i="4" s="1"/>
  <c r="S8" i="4"/>
  <c r="S25" i="4" s="1"/>
  <c r="T123" i="4" s="1"/>
  <c r="T7" i="4"/>
  <c r="T54" i="4" s="1"/>
  <c r="V24" i="4"/>
  <c r="V72" i="4" s="1"/>
  <c r="W26" i="4"/>
  <c r="X125" i="4" s="1"/>
  <c r="W89" i="4"/>
  <c r="W42" i="4"/>
  <c r="G90" i="4"/>
  <c r="G16" i="5" s="1"/>
  <c r="AK115" i="4"/>
  <c r="D8" i="4"/>
  <c r="D55" i="4" s="1"/>
  <c r="D7" i="5" s="1"/>
  <c r="T8" i="4"/>
  <c r="T6" i="4" s="1"/>
  <c r="H137" i="4"/>
  <c r="X137" i="4"/>
  <c r="X89" i="4"/>
  <c r="X42" i="4"/>
  <c r="X45" i="4"/>
  <c r="M87" i="4"/>
  <c r="M89" i="4" s="1"/>
  <c r="F60" i="2"/>
  <c r="L151" i="3"/>
  <c r="L734" i="3" s="1"/>
  <c r="F56" i="2"/>
  <c r="O151" i="3"/>
  <c r="O734" i="3" s="1"/>
  <c r="M149" i="3"/>
  <c r="N151" i="3"/>
  <c r="N734" i="3" s="1"/>
  <c r="N149" i="3"/>
  <c r="M151" i="3"/>
  <c r="M734" i="3" s="1"/>
  <c r="P149" i="3"/>
  <c r="P151" i="3"/>
  <c r="P734" i="3" s="1"/>
  <c r="H149" i="3"/>
  <c r="H151" i="3"/>
  <c r="H734" i="3" s="1"/>
  <c r="F149" i="3"/>
  <c r="F155" i="3"/>
  <c r="I38" i="2"/>
  <c r="F130" i="3" s="1"/>
  <c r="S15" i="3"/>
  <c r="T15" i="3" s="1"/>
  <c r="U15" i="3" s="1"/>
  <c r="V15" i="3" s="1"/>
  <c r="W15" i="3" s="1"/>
  <c r="X15" i="3" s="1"/>
  <c r="Y15" i="3" s="1"/>
  <c r="Z15" i="3" s="1"/>
  <c r="AA15" i="3" s="1"/>
  <c r="AB15" i="3" s="1"/>
  <c r="AC15" i="3" s="1"/>
  <c r="AD15" i="3" s="1"/>
  <c r="AE15" i="3" s="1"/>
  <c r="AF15" i="3" s="1"/>
  <c r="AG15" i="3" s="1"/>
  <c r="AH15" i="3" s="1"/>
  <c r="AI15" i="3" s="1"/>
  <c r="AJ15" i="3" s="1"/>
  <c r="AK15" i="3" s="1"/>
  <c r="AL15" i="3" s="1"/>
  <c r="AM15" i="3" s="1"/>
  <c r="AN15" i="3" s="1"/>
  <c r="AO15" i="3" s="1"/>
  <c r="AP15" i="3" s="1"/>
  <c r="AQ15" i="3" s="1"/>
  <c r="AR15" i="3" s="1"/>
  <c r="AS15" i="3" s="1"/>
  <c r="AT15" i="3" s="1"/>
  <c r="AU15" i="3" s="1"/>
  <c r="AV15" i="3" s="1"/>
  <c r="AW15" i="3" s="1"/>
  <c r="AX15" i="3" s="1"/>
  <c r="AY15" i="3" s="1"/>
  <c r="AZ15" i="3" s="1"/>
  <c r="BA15" i="3" s="1"/>
  <c r="AB18" i="4"/>
  <c r="C55" i="2"/>
  <c r="C53" i="2" s="1"/>
  <c r="AE116" i="4"/>
  <c r="J582" i="3"/>
  <c r="J462" i="3"/>
  <c r="J156" i="3"/>
  <c r="J17" i="3"/>
  <c r="J127" i="3"/>
  <c r="G21" i="3"/>
  <c r="J503" i="3"/>
  <c r="AE113" i="4"/>
  <c r="J303" i="3"/>
  <c r="Z114" i="4"/>
  <c r="Z115" i="4" s="1"/>
  <c r="AH114" i="4"/>
  <c r="AH115" i="4" s="1"/>
  <c r="M15" i="3"/>
  <c r="F412" i="3"/>
  <c r="AE47" i="4"/>
  <c r="J124" i="3"/>
  <c r="AA18" i="4"/>
  <c r="AF113" i="4"/>
  <c r="K303" i="3"/>
  <c r="K66" i="3"/>
  <c r="AG113" i="4"/>
  <c r="L303" i="3"/>
  <c r="G169" i="3"/>
  <c r="AG47" i="4"/>
  <c r="L124" i="3"/>
  <c r="K755" i="3"/>
  <c r="Z110" i="4"/>
  <c r="Z62" i="4" s="1"/>
  <c r="AH113" i="4"/>
  <c r="M303" i="3"/>
  <c r="I373" i="3"/>
  <c r="J103" i="3"/>
  <c r="AE121" i="4" s="1"/>
  <c r="Z47" i="4"/>
  <c r="Z119" i="4"/>
  <c r="AH47" i="4"/>
  <c r="J733" i="3"/>
  <c r="J151" i="3"/>
  <c r="J734" i="3" s="1"/>
  <c r="Q799" i="3"/>
  <c r="Q735" i="3"/>
  <c r="B26" i="1"/>
  <c r="B28" i="1" s="1"/>
  <c r="F8" i="3"/>
  <c r="AA113" i="4"/>
  <c r="F303" i="3"/>
  <c r="AI113" i="4"/>
  <c r="N303" i="3"/>
  <c r="F13" i="3"/>
  <c r="L15" i="3"/>
  <c r="AB116" i="4"/>
  <c r="G582" i="3"/>
  <c r="G127" i="3"/>
  <c r="G462" i="3"/>
  <c r="G156" i="3"/>
  <c r="AJ116" i="4"/>
  <c r="O582" i="3"/>
  <c r="O127" i="3"/>
  <c r="O156" i="3"/>
  <c r="O462" i="3"/>
  <c r="L21" i="3"/>
  <c r="F105" i="3"/>
  <c r="G105" i="3"/>
  <c r="K733" i="3"/>
  <c r="K151" i="3"/>
  <c r="K734" i="3" s="1"/>
  <c r="I195" i="3"/>
  <c r="AB113" i="4"/>
  <c r="G303" i="3"/>
  <c r="AJ113" i="4"/>
  <c r="O303" i="3"/>
  <c r="AC116" i="4"/>
  <c r="H582" i="3"/>
  <c r="H462" i="3"/>
  <c r="H156" i="3"/>
  <c r="AK116" i="4"/>
  <c r="P582" i="3"/>
  <c r="P156" i="3"/>
  <c r="P127" i="3"/>
  <c r="P462" i="3"/>
  <c r="M21" i="3"/>
  <c r="H105" i="3"/>
  <c r="L733" i="3"/>
  <c r="L149" i="3"/>
  <c r="G733" i="3"/>
  <c r="AF115" i="4"/>
  <c r="AD116" i="4"/>
  <c r="I582" i="3"/>
  <c r="I462" i="3"/>
  <c r="I156" i="3"/>
  <c r="I17" i="3"/>
  <c r="I127" i="3"/>
  <c r="AL116" i="4"/>
  <c r="Q582" i="3"/>
  <c r="Q156" i="3"/>
  <c r="Q127" i="3"/>
  <c r="Q17" i="3"/>
  <c r="R17" i="3" s="1"/>
  <c r="Q462" i="3"/>
  <c r="F104" i="3"/>
  <c r="N21" i="3"/>
  <c r="J343" i="3"/>
  <c r="I105" i="3"/>
  <c r="L755" i="3"/>
  <c r="AC113" i="4"/>
  <c r="H303" i="3"/>
  <c r="AK113" i="4"/>
  <c r="P303" i="3"/>
  <c r="AF116" i="4"/>
  <c r="K462" i="3"/>
  <c r="H412" i="3"/>
  <c r="M755" i="3"/>
  <c r="K156" i="3"/>
  <c r="AD113" i="4"/>
  <c r="I303" i="3"/>
  <c r="AL113" i="4"/>
  <c r="Q303" i="3"/>
  <c r="AB115" i="4"/>
  <c r="AJ115" i="4"/>
  <c r="F15" i="3"/>
  <c r="N15" i="3"/>
  <c r="AG116" i="4"/>
  <c r="L582" i="3"/>
  <c r="L462" i="3"/>
  <c r="L127" i="3"/>
  <c r="I412" i="3"/>
  <c r="G104" i="3"/>
  <c r="G124" i="3"/>
  <c r="K127" i="3"/>
  <c r="N755" i="3"/>
  <c r="I799" i="3"/>
  <c r="I735" i="3"/>
  <c r="L156" i="3"/>
  <c r="G222" i="3"/>
  <c r="AC115" i="4"/>
  <c r="G15" i="3"/>
  <c r="O15" i="3"/>
  <c r="Z116" i="4"/>
  <c r="Z117" i="4" s="1"/>
  <c r="AH116" i="4"/>
  <c r="M582" i="3"/>
  <c r="M462" i="3"/>
  <c r="M127" i="3"/>
  <c r="K17" i="3"/>
  <c r="AC47" i="4"/>
  <c r="AK47" i="4"/>
  <c r="H124" i="3"/>
  <c r="K799" i="3"/>
  <c r="K735" i="3"/>
  <c r="M156" i="3"/>
  <c r="K582" i="3"/>
  <c r="AL115" i="4"/>
  <c r="H15" i="3"/>
  <c r="P15" i="3"/>
  <c r="AA116" i="4"/>
  <c r="F582" i="3"/>
  <c r="F591" i="3" s="1"/>
  <c r="F462" i="3"/>
  <c r="F127" i="3"/>
  <c r="AI116" i="4"/>
  <c r="N582" i="3"/>
  <c r="N462" i="3"/>
  <c r="N127" i="3"/>
  <c r="L17" i="3"/>
  <c r="G32" i="3"/>
  <c r="I413" i="3"/>
  <c r="L66" i="3"/>
  <c r="AA121" i="4"/>
  <c r="AD47" i="4"/>
  <c r="I124" i="3"/>
  <c r="AL47" i="4"/>
  <c r="Q124" i="3"/>
  <c r="I733" i="3"/>
  <c r="I151" i="3"/>
  <c r="I734" i="3" s="1"/>
  <c r="Q733" i="3"/>
  <c r="Q151" i="3"/>
  <c r="Q734" i="3" s="1"/>
  <c r="O735" i="3"/>
  <c r="O799" i="3"/>
  <c r="N156" i="3"/>
  <c r="I314" i="3"/>
  <c r="G314" i="3"/>
  <c r="F310" i="3"/>
  <c r="F758" i="3" s="1"/>
  <c r="H311" i="3"/>
  <c r="P311" i="3"/>
  <c r="F790" i="3"/>
  <c r="O149" i="3"/>
  <c r="H314" i="3"/>
  <c r="J473" i="3"/>
  <c r="I473" i="3"/>
  <c r="H473" i="3"/>
  <c r="W78" i="4"/>
  <c r="W37" i="4"/>
  <c r="J593" i="3"/>
  <c r="H593" i="3"/>
  <c r="F72" i="4"/>
  <c r="B6" i="4"/>
  <c r="B53" i="4" s="1"/>
  <c r="B6" i="5" s="1"/>
  <c r="B9" i="5" s="1"/>
  <c r="H24" i="4"/>
  <c r="H7" i="4"/>
  <c r="H54" i="4" s="1"/>
  <c r="H56" i="4"/>
  <c r="P56" i="4"/>
  <c r="P24" i="4"/>
  <c r="P7" i="4"/>
  <c r="P54" i="4" s="1"/>
  <c r="X24" i="4"/>
  <c r="X7" i="4"/>
  <c r="X54" i="4" s="1"/>
  <c r="C26" i="4"/>
  <c r="C57" i="4"/>
  <c r="C8" i="5" s="1"/>
  <c r="K57" i="4"/>
  <c r="K8" i="5" s="1"/>
  <c r="K26" i="4"/>
  <c r="S73" i="4"/>
  <c r="T125" i="4"/>
  <c r="G8" i="4"/>
  <c r="G62" i="4"/>
  <c r="O62" i="4"/>
  <c r="O8" i="4"/>
  <c r="W62" i="4"/>
  <c r="W8" i="4"/>
  <c r="M72" i="4"/>
  <c r="S57" i="4"/>
  <c r="S8" i="5" s="1"/>
  <c r="I56" i="4"/>
  <c r="I24" i="4"/>
  <c r="I7" i="4"/>
  <c r="I54" i="4" s="1"/>
  <c r="Q56" i="4"/>
  <c r="Q24" i="4"/>
  <c r="Q7" i="4"/>
  <c r="Q54" i="4" s="1"/>
  <c r="Y56" i="4"/>
  <c r="Y24" i="4"/>
  <c r="Y7" i="4"/>
  <c r="Y54" i="4" s="1"/>
  <c r="D57" i="4"/>
  <c r="D8" i="5" s="1"/>
  <c r="D26" i="4"/>
  <c r="L57" i="4"/>
  <c r="L8" i="5" s="1"/>
  <c r="L26" i="4"/>
  <c r="T57" i="4"/>
  <c r="T8" i="5" s="1"/>
  <c r="T26" i="4"/>
  <c r="H8" i="4"/>
  <c r="H62" i="4"/>
  <c r="P8" i="4"/>
  <c r="P62" i="4"/>
  <c r="X8" i="4"/>
  <c r="X62" i="4"/>
  <c r="AC15" i="4"/>
  <c r="AK15" i="4"/>
  <c r="H78" i="4"/>
  <c r="H37" i="4"/>
  <c r="O79" i="4"/>
  <c r="O31" i="4"/>
  <c r="W79" i="4"/>
  <c r="E57" i="4"/>
  <c r="E8" i="5" s="1"/>
  <c r="E26" i="4"/>
  <c r="M57" i="4"/>
  <c r="M8" i="5" s="1"/>
  <c r="M26" i="4"/>
  <c r="M23" i="4" s="1"/>
  <c r="M70" i="4" s="1"/>
  <c r="U57" i="4"/>
  <c r="U8" i="5" s="1"/>
  <c r="U26" i="4"/>
  <c r="I62" i="4"/>
  <c r="I8" i="4"/>
  <c r="Q8" i="4"/>
  <c r="Q62" i="4"/>
  <c r="Y62" i="4"/>
  <c r="Y8" i="4"/>
  <c r="AD15" i="4"/>
  <c r="AL15" i="4"/>
  <c r="H79" i="4"/>
  <c r="P79" i="4"/>
  <c r="P31" i="4"/>
  <c r="X79" i="4"/>
  <c r="X31" i="4"/>
  <c r="L7" i="4"/>
  <c r="L54" i="4" s="1"/>
  <c r="AE15" i="4"/>
  <c r="AA19" i="4"/>
  <c r="AI19" i="4"/>
  <c r="W72" i="4"/>
  <c r="W23" i="4"/>
  <c r="W70" i="4" s="1"/>
  <c r="AJ19" i="4"/>
  <c r="R125" i="4"/>
  <c r="Q73" i="4"/>
  <c r="B46" i="4"/>
  <c r="B93" i="4" s="1"/>
  <c r="B18" i="5" s="1"/>
  <c r="B84" i="4"/>
  <c r="B42" i="4"/>
  <c r="B88" i="4"/>
  <c r="B89" i="4" s="1"/>
  <c r="R88" i="4"/>
  <c r="R89" i="4" s="1"/>
  <c r="R42" i="4"/>
  <c r="Z42" i="4"/>
  <c r="C90" i="4"/>
  <c r="C45" i="4"/>
  <c r="K90" i="4"/>
  <c r="K45" i="4"/>
  <c r="S90" i="4"/>
  <c r="S45" i="4"/>
  <c r="P91" i="4"/>
  <c r="P16" i="5" s="1"/>
  <c r="P45" i="4"/>
  <c r="X91" i="4"/>
  <c r="X92" i="4" s="1"/>
  <c r="K6" i="4"/>
  <c r="K55" i="4"/>
  <c r="K7" i="5" s="1"/>
  <c r="Y125" i="4"/>
  <c r="X73" i="4"/>
  <c r="AB19" i="4"/>
  <c r="X56" i="4"/>
  <c r="C7" i="4"/>
  <c r="C54" i="4" s="1"/>
  <c r="L25" i="4"/>
  <c r="M123" i="4" s="1"/>
  <c r="L55" i="4"/>
  <c r="L7" i="5" s="1"/>
  <c r="F7" i="4"/>
  <c r="F54" i="4" s="1"/>
  <c r="F56" i="4"/>
  <c r="N56" i="4"/>
  <c r="N24" i="4"/>
  <c r="U137" i="4"/>
  <c r="D7" i="4"/>
  <c r="D54" i="4" s="1"/>
  <c r="S7" i="4"/>
  <c r="S54" i="4" s="1"/>
  <c r="M25" i="4"/>
  <c r="N124" i="4" s="1"/>
  <c r="M55" i="4"/>
  <c r="M7" i="5" s="1"/>
  <c r="M6" i="4"/>
  <c r="C125" i="4"/>
  <c r="B73" i="4"/>
  <c r="R73" i="4"/>
  <c r="S125" i="4"/>
  <c r="F62" i="4"/>
  <c r="F8" i="4"/>
  <c r="N62" i="4"/>
  <c r="N8" i="4"/>
  <c r="AD19" i="4"/>
  <c r="V78" i="4"/>
  <c r="V37" i="4"/>
  <c r="H45" i="4"/>
  <c r="V137" i="4"/>
  <c r="E7" i="4"/>
  <c r="E54" i="4" s="1"/>
  <c r="E56" i="4"/>
  <c r="M7" i="4"/>
  <c r="M54" i="4" s="1"/>
  <c r="U7" i="4"/>
  <c r="U54" i="4" s="1"/>
  <c r="U56" i="4"/>
  <c r="P137" i="4"/>
  <c r="Q137" i="4"/>
  <c r="E24" i="4"/>
  <c r="U24" i="4"/>
  <c r="O26" i="4"/>
  <c r="G78" i="4"/>
  <c r="G37" i="4"/>
  <c r="U78" i="4"/>
  <c r="N79" i="4"/>
  <c r="V79" i="4"/>
  <c r="Y88" i="4"/>
  <c r="Y89" i="4" s="1"/>
  <c r="Y42" i="4"/>
  <c r="B16" i="5"/>
  <c r="B92" i="4"/>
  <c r="J90" i="4"/>
  <c r="J45" i="4"/>
  <c r="R16" i="5"/>
  <c r="R92" i="4"/>
  <c r="Z45" i="4"/>
  <c r="V73" i="4"/>
  <c r="M78" i="4"/>
  <c r="M37" i="4"/>
  <c r="I79" i="4"/>
  <c r="I31" i="4"/>
  <c r="Q79" i="4"/>
  <c r="Q31" i="4"/>
  <c r="Y79" i="4"/>
  <c r="Y31" i="4"/>
  <c r="C84" i="4"/>
  <c r="C46" i="4"/>
  <c r="C93" i="4" s="1"/>
  <c r="C18" i="5" s="1"/>
  <c r="N78" i="4"/>
  <c r="N37" i="4"/>
  <c r="F42" i="4"/>
  <c r="F87" i="4"/>
  <c r="F89" i="4" s="1"/>
  <c r="N87" i="4"/>
  <c r="N89" i="4" s="1"/>
  <c r="N42" i="4"/>
  <c r="G89" i="4"/>
  <c r="B56" i="4"/>
  <c r="B24" i="4"/>
  <c r="J56" i="4"/>
  <c r="J24" i="4"/>
  <c r="R56" i="4"/>
  <c r="R24" i="4"/>
  <c r="Z24" i="4"/>
  <c r="M137" i="4"/>
  <c r="AH19" i="4"/>
  <c r="H26" i="4"/>
  <c r="O87" i="4"/>
  <c r="O89" i="4" s="1"/>
  <c r="O42" i="4"/>
  <c r="C56" i="4"/>
  <c r="C24" i="4"/>
  <c r="K56" i="4"/>
  <c r="K24" i="4"/>
  <c r="S56" i="4"/>
  <c r="S24" i="4"/>
  <c r="N137" i="4"/>
  <c r="I26" i="4"/>
  <c r="Y26" i="4"/>
  <c r="Z125" i="4" s="1"/>
  <c r="E78" i="4"/>
  <c r="E37" i="4"/>
  <c r="H89" i="4"/>
  <c r="P87" i="4"/>
  <c r="P89" i="4" s="1"/>
  <c r="P42" i="4"/>
  <c r="Z7" i="4"/>
  <c r="G137" i="4"/>
  <c r="O137" i="4"/>
  <c r="W137" i="4"/>
  <c r="D24" i="4"/>
  <c r="T24" i="4"/>
  <c r="N26" i="4"/>
  <c r="F78" i="4"/>
  <c r="F37" i="4"/>
  <c r="I87" i="4"/>
  <c r="I89" i="4" s="1"/>
  <c r="I42" i="4"/>
  <c r="B45" i="4"/>
  <c r="M56" i="4"/>
  <c r="V87" i="4"/>
  <c r="V89" i="4" s="1"/>
  <c r="D78" i="4"/>
  <c r="L78" i="4"/>
  <c r="T78" i="4"/>
  <c r="M79" i="4"/>
  <c r="E42" i="4"/>
  <c r="E87" i="4"/>
  <c r="E89" i="4" s="1"/>
  <c r="U42" i="4"/>
  <c r="U87" i="4"/>
  <c r="U89" i="4" s="1"/>
  <c r="O16" i="5"/>
  <c r="O92" i="4"/>
  <c r="I137" i="4"/>
  <c r="Y137" i="4"/>
  <c r="J26" i="4"/>
  <c r="Z26" i="4"/>
  <c r="R79" i="4"/>
  <c r="D37" i="4"/>
  <c r="L37" i="4"/>
  <c r="T37" i="4"/>
  <c r="J89" i="4"/>
  <c r="D90" i="4"/>
  <c r="D45" i="4"/>
  <c r="L90" i="4"/>
  <c r="L45" i="4"/>
  <c r="T90" i="4"/>
  <c r="T45" i="4"/>
  <c r="H16" i="5"/>
  <c r="H92" i="4"/>
  <c r="J137" i="4"/>
  <c r="R137" i="4"/>
  <c r="J31" i="4"/>
  <c r="R31" i="4"/>
  <c r="Z31" i="4"/>
  <c r="S79" i="4"/>
  <c r="C87" i="4"/>
  <c r="C89" i="4" s="1"/>
  <c r="C42" i="4"/>
  <c r="K87" i="4"/>
  <c r="K89" i="4" s="1"/>
  <c r="K42" i="4"/>
  <c r="S87" i="4"/>
  <c r="S89" i="4" s="1"/>
  <c r="S42" i="4"/>
  <c r="J42" i="4"/>
  <c r="E90" i="4"/>
  <c r="E45" i="4"/>
  <c r="U90" i="4"/>
  <c r="U45" i="4"/>
  <c r="M90" i="4"/>
  <c r="C78" i="4"/>
  <c r="K31" i="4"/>
  <c r="S31" i="4"/>
  <c r="L79" i="4"/>
  <c r="D87" i="4"/>
  <c r="D89" i="4" s="1"/>
  <c r="D42" i="4"/>
  <c r="L42" i="4"/>
  <c r="T87" i="4"/>
  <c r="T89" i="4" s="1"/>
  <c r="T42" i="4"/>
  <c r="I16" i="5"/>
  <c r="I92" i="4"/>
  <c r="Q92" i="4"/>
  <c r="Q16" i="5"/>
  <c r="Y16" i="5"/>
  <c r="Y92" i="4"/>
  <c r="O45" i="4"/>
  <c r="F90" i="4"/>
  <c r="V90" i="4"/>
  <c r="Q89" i="4"/>
  <c r="I165" i="3" l="1"/>
  <c r="F471" i="3"/>
  <c r="K165" i="3"/>
  <c r="V25" i="4"/>
  <c r="W124" i="4" s="1"/>
  <c r="U55" i="4"/>
  <c r="U7" i="5" s="1"/>
  <c r="V55" i="4"/>
  <c r="V7" i="5" s="1"/>
  <c r="J165" i="3"/>
  <c r="J261" i="3" s="1"/>
  <c r="Q125" i="4"/>
  <c r="F102" i="3"/>
  <c r="AA120" i="4" s="1"/>
  <c r="AA122" i="4" s="1"/>
  <c r="G594" i="3"/>
  <c r="G750" i="3" s="1"/>
  <c r="I594" i="3"/>
  <c r="I147" i="3" s="1"/>
  <c r="G474" i="3"/>
  <c r="G146" i="3" s="1"/>
  <c r="F474" i="3"/>
  <c r="F146" i="3" s="1"/>
  <c r="F756" i="3"/>
  <c r="G790" i="3"/>
  <c r="J594" i="3"/>
  <c r="J750" i="3" s="1"/>
  <c r="F594" i="3"/>
  <c r="F750" i="3" s="1"/>
  <c r="M165" i="3"/>
  <c r="M201" i="3" s="1"/>
  <c r="G102" i="3"/>
  <c r="AB120" i="4" s="1"/>
  <c r="AB122" i="4" s="1"/>
  <c r="Q165" i="3"/>
  <c r="K103" i="3"/>
  <c r="AF121" i="4" s="1"/>
  <c r="H255" i="3"/>
  <c r="F128" i="3"/>
  <c r="F767" i="3" s="1"/>
  <c r="H594" i="3"/>
  <c r="H147" i="3" s="1"/>
  <c r="H102" i="3"/>
  <c r="AC120" i="4" s="1"/>
  <c r="AC122" i="4" s="1"/>
  <c r="K598" i="3"/>
  <c r="F131" i="3"/>
  <c r="S303" i="3"/>
  <c r="W73" i="4"/>
  <c r="G23" i="4"/>
  <c r="G70" i="4" s="1"/>
  <c r="B25" i="4"/>
  <c r="C124" i="4" s="1"/>
  <c r="Z22" i="4"/>
  <c r="Z69" i="4" s="1"/>
  <c r="O23" i="4"/>
  <c r="O70" i="4" s="1"/>
  <c r="Z135" i="4"/>
  <c r="C21" i="1"/>
  <c r="C26" i="1" s="1"/>
  <c r="C28" i="1" s="1"/>
  <c r="T55" i="4"/>
  <c r="T7" i="5" s="1"/>
  <c r="G73" i="4"/>
  <c r="V23" i="4"/>
  <c r="V70" i="4" s="1"/>
  <c r="J25" i="4"/>
  <c r="K123" i="4" s="1"/>
  <c r="L123" i="4"/>
  <c r="F73" i="4"/>
  <c r="Z88" i="4"/>
  <c r="AH117" i="4"/>
  <c r="U6" i="4"/>
  <c r="U53" i="4" s="1"/>
  <c r="U6" i="5" s="1"/>
  <c r="U9" i="5" s="1"/>
  <c r="T25" i="4"/>
  <c r="U124" i="4" s="1"/>
  <c r="C25" i="4"/>
  <c r="D123" i="4" s="1"/>
  <c r="AI115" i="4"/>
  <c r="E25" i="4"/>
  <c r="F124" i="4" s="1"/>
  <c r="W16" i="5"/>
  <c r="N16" i="5"/>
  <c r="E55" i="4"/>
  <c r="E7" i="5" s="1"/>
  <c r="C55" i="4"/>
  <c r="C7" i="5" s="1"/>
  <c r="Z67" i="4"/>
  <c r="Z87" i="4"/>
  <c r="Z68" i="4"/>
  <c r="Z79" i="4"/>
  <c r="Z55" i="4"/>
  <c r="Z7" i="5" s="1"/>
  <c r="Z53" i="4"/>
  <c r="Z6" i="5" s="1"/>
  <c r="Z9" i="5" s="1"/>
  <c r="Z56" i="4"/>
  <c r="Z71" i="4"/>
  <c r="Z11" i="5" s="1"/>
  <c r="E53" i="4"/>
  <c r="E6" i="5" s="1"/>
  <c r="E9" i="5" s="1"/>
  <c r="Z91" i="4"/>
  <c r="L23" i="4"/>
  <c r="L70" i="4" s="1"/>
  <c r="Z54" i="4"/>
  <c r="Z66" i="4"/>
  <c r="Z137" i="4" s="1"/>
  <c r="J6" i="4"/>
  <c r="J53" i="4" s="1"/>
  <c r="J6" i="5" s="1"/>
  <c r="J9" i="5" s="1"/>
  <c r="Z58" i="4"/>
  <c r="S6" i="4"/>
  <c r="S53" i="4" s="1"/>
  <c r="S6" i="5" s="1"/>
  <c r="S9" i="5" s="1"/>
  <c r="G92" i="4"/>
  <c r="M124" i="4"/>
  <c r="Z57" i="4"/>
  <c r="Z8" i="5" s="1"/>
  <c r="D6" i="4"/>
  <c r="S55" i="4"/>
  <c r="S7" i="5" s="1"/>
  <c r="F23" i="4"/>
  <c r="F70" i="4" s="1"/>
  <c r="AA117" i="4"/>
  <c r="AF117" i="4"/>
  <c r="Z94" i="4"/>
  <c r="Z17" i="5" s="1"/>
  <c r="Z83" i="4"/>
  <c r="Z73" i="4"/>
  <c r="Z12" i="5" s="1"/>
  <c r="D25" i="4"/>
  <c r="E124" i="4" s="1"/>
  <c r="X16" i="5"/>
  <c r="W123" i="4"/>
  <c r="R55" i="4"/>
  <c r="R7" i="5" s="1"/>
  <c r="R6" i="4"/>
  <c r="R25" i="4"/>
  <c r="C48" i="4"/>
  <c r="C95" i="4" s="1"/>
  <c r="V124" i="4"/>
  <c r="AJ117" i="4"/>
  <c r="AA115" i="4"/>
  <c r="AL117" i="4"/>
  <c r="M305" i="3"/>
  <c r="M378" i="3" s="1"/>
  <c r="N305" i="3"/>
  <c r="N418" i="3" s="1"/>
  <c r="I57" i="2"/>
  <c r="G130" i="3" s="1"/>
  <c r="H305" i="3"/>
  <c r="H349" i="3" s="1"/>
  <c r="H165" i="3"/>
  <c r="H228" i="3" s="1"/>
  <c r="P165" i="3"/>
  <c r="P201" i="3" s="1"/>
  <c r="P305" i="3"/>
  <c r="P378" i="3" s="1"/>
  <c r="N165" i="3"/>
  <c r="N261" i="3" s="1"/>
  <c r="F302" i="3"/>
  <c r="D92" i="2"/>
  <c r="G13" i="3"/>
  <c r="G799" i="3" s="1"/>
  <c r="C93" i="2"/>
  <c r="J766" i="3"/>
  <c r="V92" i="4"/>
  <c r="V16" i="5"/>
  <c r="Q78" i="4"/>
  <c r="Q37" i="4"/>
  <c r="U84" i="4"/>
  <c r="U46" i="4"/>
  <c r="U93" i="4" s="1"/>
  <c r="U18" i="5" s="1"/>
  <c r="O165" i="3"/>
  <c r="O305" i="3"/>
  <c r="Q418" i="3"/>
  <c r="Q349" i="3"/>
  <c r="Q325" i="3"/>
  <c r="Q378" i="3"/>
  <c r="R72" i="4"/>
  <c r="R23" i="4"/>
  <c r="R70" i="4" s="1"/>
  <c r="V12" i="5"/>
  <c r="E73" i="4"/>
  <c r="F125" i="4"/>
  <c r="F735" i="3"/>
  <c r="F799" i="3"/>
  <c r="F795" i="3" s="1"/>
  <c r="K532" i="3"/>
  <c r="K533" i="3"/>
  <c r="F745" i="3"/>
  <c r="F484" i="3"/>
  <c r="F584" i="3"/>
  <c r="F464" i="3"/>
  <c r="P766" i="3"/>
  <c r="I344" i="3"/>
  <c r="G155" i="3"/>
  <c r="K228" i="3"/>
  <c r="K261" i="3"/>
  <c r="K201" i="3"/>
  <c r="K179" i="3"/>
  <c r="G149" i="3"/>
  <c r="F305" i="3"/>
  <c r="F165" i="3"/>
  <c r="E16" i="5"/>
  <c r="E92" i="4"/>
  <c r="R78" i="4"/>
  <c r="R37" i="4"/>
  <c r="D16" i="5"/>
  <c r="D92" i="4"/>
  <c r="P12" i="5"/>
  <c r="X55" i="4"/>
  <c r="X7" i="5" s="1"/>
  <c r="X25" i="4"/>
  <c r="Y124" i="4" s="1"/>
  <c r="X6" i="4"/>
  <c r="P155" i="3"/>
  <c r="Z80" i="4"/>
  <c r="Z111" i="4"/>
  <c r="Z82" i="4"/>
  <c r="Z61" i="4"/>
  <c r="Z64" i="4"/>
  <c r="Z59" i="4"/>
  <c r="Z60" i="4"/>
  <c r="Z81" i="4"/>
  <c r="Z63" i="4"/>
  <c r="Z65" i="4"/>
  <c r="G737" i="3"/>
  <c r="G141" i="3"/>
  <c r="K503" i="3"/>
  <c r="K504" i="3"/>
  <c r="J155" i="3"/>
  <c r="L16" i="5"/>
  <c r="L92" i="4"/>
  <c r="C72" i="4"/>
  <c r="C23" i="4"/>
  <c r="C70" i="4" s="1"/>
  <c r="E72" i="4"/>
  <c r="E23" i="4"/>
  <c r="E70" i="4" s="1"/>
  <c r="F55" i="4"/>
  <c r="F7" i="5" s="1"/>
  <c r="F6" i="4"/>
  <c r="F25" i="4"/>
  <c r="X12" i="5"/>
  <c r="V53" i="4"/>
  <c r="V6" i="5" s="1"/>
  <c r="V9" i="5" s="1"/>
  <c r="G801" i="3"/>
  <c r="Q155" i="3"/>
  <c r="AD117" i="4"/>
  <c r="F16" i="5"/>
  <c r="F92" i="4"/>
  <c r="L766" i="3"/>
  <c r="I261" i="3"/>
  <c r="I228" i="3"/>
  <c r="I179" i="3"/>
  <c r="I201" i="3"/>
  <c r="T72" i="4"/>
  <c r="T23" i="4"/>
  <c r="T70" i="4" s="1"/>
  <c r="G12" i="5"/>
  <c r="J72" i="4"/>
  <c r="J23" i="4"/>
  <c r="J70" i="4" s="1"/>
  <c r="I78" i="4"/>
  <c r="I37" i="4"/>
  <c r="J16" i="5"/>
  <c r="J92" i="4"/>
  <c r="G84" i="4"/>
  <c r="G46" i="4"/>
  <c r="J71" i="4"/>
  <c r="J11" i="5" s="1"/>
  <c r="T53" i="4"/>
  <c r="T6" i="5" s="1"/>
  <c r="T9" i="5" s="1"/>
  <c r="M125" i="4"/>
  <c r="L73" i="4"/>
  <c r="Q72" i="4"/>
  <c r="Q23" i="4"/>
  <c r="Q70" i="4" s="1"/>
  <c r="C53" i="4"/>
  <c r="C6" i="5" s="1"/>
  <c r="C9" i="5" s="1"/>
  <c r="L125" i="4"/>
  <c r="K73" i="4"/>
  <c r="H801" i="3"/>
  <c r="F766" i="3"/>
  <c r="M179" i="3"/>
  <c r="K682" i="3"/>
  <c r="F21" i="3"/>
  <c r="I766" i="3"/>
  <c r="G735" i="3"/>
  <c r="G766" i="3"/>
  <c r="K418" i="3"/>
  <c r="K349" i="3"/>
  <c r="K325" i="3"/>
  <c r="K378" i="3"/>
  <c r="J418" i="3"/>
  <c r="J349" i="3"/>
  <c r="J325" i="3"/>
  <c r="J378" i="3"/>
  <c r="Y23" i="4"/>
  <c r="Y70" i="4" s="1"/>
  <c r="Y72" i="4"/>
  <c r="X72" i="4"/>
  <c r="X23" i="4"/>
  <c r="X70" i="4" s="1"/>
  <c r="K645" i="3"/>
  <c r="E84" i="4"/>
  <c r="E46" i="4"/>
  <c r="E93" i="4" s="1"/>
  <c r="E18" i="5" s="1"/>
  <c r="F12" i="5"/>
  <c r="X78" i="4"/>
  <c r="X37" i="4"/>
  <c r="J78" i="4"/>
  <c r="J37" i="4"/>
  <c r="B48" i="4"/>
  <c r="B95" i="4" s="1"/>
  <c r="M16" i="5"/>
  <c r="M92" i="4"/>
  <c r="D72" i="4"/>
  <c r="D23" i="4"/>
  <c r="D70" i="4" s="1"/>
  <c r="P92" i="4"/>
  <c r="Y73" i="4"/>
  <c r="S72" i="4"/>
  <c r="S23" i="4"/>
  <c r="S70" i="4" s="1"/>
  <c r="W12" i="5"/>
  <c r="R12" i="5"/>
  <c r="Q12" i="5"/>
  <c r="Y55" i="4"/>
  <c r="Y7" i="5" s="1"/>
  <c r="Y25" i="4"/>
  <c r="Z124" i="4" s="1"/>
  <c r="Y6" i="4"/>
  <c r="U123" i="4"/>
  <c r="T22" i="4"/>
  <c r="U126" i="4" s="1"/>
  <c r="P55" i="4"/>
  <c r="P7" i="5" s="1"/>
  <c r="P25" i="4"/>
  <c r="Q124" i="4" s="1"/>
  <c r="P6" i="4"/>
  <c r="C22" i="4"/>
  <c r="D126" i="4" s="1"/>
  <c r="O55" i="4"/>
  <c r="O7" i="5" s="1"/>
  <c r="O25" i="4"/>
  <c r="P124" i="4" s="1"/>
  <c r="O6" i="4"/>
  <c r="H773" i="3"/>
  <c r="I790" i="3"/>
  <c r="I474" i="3"/>
  <c r="I801" i="3"/>
  <c r="J320" i="3"/>
  <c r="M155" i="3"/>
  <c r="I418" i="3"/>
  <c r="I349" i="3"/>
  <c r="I325" i="3"/>
  <c r="I378" i="3"/>
  <c r="K619" i="3"/>
  <c r="K372" i="3"/>
  <c r="AK117" i="4"/>
  <c r="J195" i="3"/>
  <c r="F120" i="3"/>
  <c r="I55" i="4"/>
  <c r="I7" i="5" s="1"/>
  <c r="I25" i="4"/>
  <c r="J124" i="4" s="1"/>
  <c r="I6" i="4"/>
  <c r="H84" i="4"/>
  <c r="H46" i="4"/>
  <c r="H93" i="4" s="1"/>
  <c r="H18" i="5" s="1"/>
  <c r="H19" i="5" s="1"/>
  <c r="AC117" i="4"/>
  <c r="Z78" i="4"/>
  <c r="Z37" i="4"/>
  <c r="N84" i="4"/>
  <c r="N46" i="4"/>
  <c r="C123" i="4"/>
  <c r="B71" i="4"/>
  <c r="B11" i="5" s="1"/>
  <c r="B22" i="4"/>
  <c r="M71" i="4"/>
  <c r="M11" i="5" s="1"/>
  <c r="M22" i="4"/>
  <c r="N127" i="4" s="1"/>
  <c r="C16" i="5"/>
  <c r="C19" i="5" s="1"/>
  <c r="C92" i="4"/>
  <c r="U125" i="4"/>
  <c r="T73" i="4"/>
  <c r="S71" i="4"/>
  <c r="S11" i="5" s="1"/>
  <c r="S22" i="4"/>
  <c r="T127" i="4" s="1"/>
  <c r="T124" i="4"/>
  <c r="O125" i="4"/>
  <c r="N73" i="4"/>
  <c r="B72" i="4"/>
  <c r="B23" i="4"/>
  <c r="B70" i="4" s="1"/>
  <c r="Y78" i="4"/>
  <c r="Y37" i="4"/>
  <c r="B19" i="5"/>
  <c r="B12" i="5"/>
  <c r="L71" i="4"/>
  <c r="L11" i="5" s="1"/>
  <c r="L22" i="4"/>
  <c r="M126" i="4" s="1"/>
  <c r="K53" i="4"/>
  <c r="K6" i="5" s="1"/>
  <c r="K9" i="5" s="1"/>
  <c r="S16" i="5"/>
  <c r="S92" i="4"/>
  <c r="U71" i="4"/>
  <c r="U11" i="5" s="1"/>
  <c r="U22" i="4"/>
  <c r="V127" i="4" s="1"/>
  <c r="P78" i="4"/>
  <c r="P37" i="4"/>
  <c r="U73" i="4"/>
  <c r="V125" i="4"/>
  <c r="O37" i="4"/>
  <c r="O78" i="4"/>
  <c r="D73" i="4"/>
  <c r="E125" i="4"/>
  <c r="G175" i="3"/>
  <c r="G176" i="3" s="1"/>
  <c r="H32" i="3"/>
  <c r="L155" i="3"/>
  <c r="AG117" i="4"/>
  <c r="J372" i="3"/>
  <c r="I155" i="3"/>
  <c r="I222" i="3"/>
  <c r="I223" i="3"/>
  <c r="H155" i="3"/>
  <c r="O155" i="3"/>
  <c r="AB117" i="4"/>
  <c r="AA110" i="4"/>
  <c r="F118" i="3"/>
  <c r="F111" i="3"/>
  <c r="F117" i="3"/>
  <c r="F109" i="3"/>
  <c r="G8" i="3"/>
  <c r="F113" i="3"/>
  <c r="F107" i="3"/>
  <c r="AA119" i="4" s="1"/>
  <c r="I196" i="3"/>
  <c r="AA15" i="4"/>
  <c r="L343" i="3"/>
  <c r="J504" i="3"/>
  <c r="J105" i="3"/>
  <c r="AE117" i="4"/>
  <c r="AB15" i="4"/>
  <c r="T84" i="4"/>
  <c r="T46" i="4"/>
  <c r="T93" i="4" s="1"/>
  <c r="T18" i="5" s="1"/>
  <c r="S78" i="4"/>
  <c r="S124" i="4"/>
  <c r="S37" i="4"/>
  <c r="J73" i="4"/>
  <c r="K125" i="4"/>
  <c r="K72" i="4"/>
  <c r="K23" i="4"/>
  <c r="K70" i="4" s="1"/>
  <c r="I125" i="4"/>
  <c r="H73" i="4"/>
  <c r="N123" i="4"/>
  <c r="N55" i="4"/>
  <c r="N7" i="5" s="1"/>
  <c r="N6" i="4"/>
  <c r="N25" i="4"/>
  <c r="O124" i="4" s="1"/>
  <c r="D53" i="4"/>
  <c r="D6" i="5" s="1"/>
  <c r="D9" i="5" s="1"/>
  <c r="I72" i="4"/>
  <c r="I23" i="4"/>
  <c r="I70" i="4" s="1"/>
  <c r="H72" i="4"/>
  <c r="H23" i="4"/>
  <c r="H70" i="4" s="1"/>
  <c r="M766" i="3"/>
  <c r="K766" i="3"/>
  <c r="K155" i="3"/>
  <c r="S17" i="3"/>
  <c r="T17" i="3" s="1"/>
  <c r="U17" i="3" s="1"/>
  <c r="V17" i="3" s="1"/>
  <c r="W17" i="3" s="1"/>
  <c r="X17" i="3" s="1"/>
  <c r="Y17" i="3" s="1"/>
  <c r="Z17" i="3" s="1"/>
  <c r="AA17" i="3" s="1"/>
  <c r="AB17" i="3" s="1"/>
  <c r="AC17" i="3" s="1"/>
  <c r="AD17" i="3" s="1"/>
  <c r="AE17" i="3" s="1"/>
  <c r="AF17" i="3" s="1"/>
  <c r="AG17" i="3" s="1"/>
  <c r="AH17" i="3" s="1"/>
  <c r="AI17" i="3" s="1"/>
  <c r="AJ17" i="3" s="1"/>
  <c r="AK17" i="3" s="1"/>
  <c r="AL17" i="3" s="1"/>
  <c r="AM17" i="3" s="1"/>
  <c r="AN17" i="3" s="1"/>
  <c r="AO17" i="3" s="1"/>
  <c r="AP17" i="3" s="1"/>
  <c r="AQ17" i="3" s="1"/>
  <c r="AR17" i="3" s="1"/>
  <c r="AS17" i="3" s="1"/>
  <c r="AT17" i="3" s="1"/>
  <c r="AU17" i="3" s="1"/>
  <c r="AV17" i="3" s="1"/>
  <c r="AW17" i="3" s="1"/>
  <c r="AX17" i="3" s="1"/>
  <c r="AY17" i="3" s="1"/>
  <c r="AZ17" i="3" s="1"/>
  <c r="BA17" i="3" s="1"/>
  <c r="L305" i="3"/>
  <c r="L165" i="3"/>
  <c r="O766" i="3"/>
  <c r="W55" i="4"/>
  <c r="W7" i="5" s="1"/>
  <c r="W6" i="4"/>
  <c r="W25" i="4"/>
  <c r="S12" i="5"/>
  <c r="P72" i="4"/>
  <c r="P23" i="4"/>
  <c r="P70" i="4" s="1"/>
  <c r="H790" i="3"/>
  <c r="H474" i="3"/>
  <c r="AI117" i="4"/>
  <c r="L53" i="4"/>
  <c r="L6" i="5" s="1"/>
  <c r="L9" i="5" s="1"/>
  <c r="J125" i="4"/>
  <c r="I73" i="4"/>
  <c r="U48" i="4"/>
  <c r="U95" i="4" s="1"/>
  <c r="T16" i="5"/>
  <c r="T92" i="4"/>
  <c r="L46" i="4"/>
  <c r="L93" i="4" s="1"/>
  <c r="L18" i="5" s="1"/>
  <c r="L84" i="4"/>
  <c r="D124" i="4"/>
  <c r="M84" i="4"/>
  <c r="M46" i="4"/>
  <c r="P125" i="4"/>
  <c r="O73" i="4"/>
  <c r="V84" i="4"/>
  <c r="V46" i="4"/>
  <c r="K71" i="4"/>
  <c r="K11" i="5" s="1"/>
  <c r="K22" i="4"/>
  <c r="L127" i="4" s="1"/>
  <c r="H55" i="4"/>
  <c r="H7" i="5" s="1"/>
  <c r="H6" i="4"/>
  <c r="H25" i="4"/>
  <c r="I124" i="4" s="1"/>
  <c r="D125" i="4"/>
  <c r="C73" i="4"/>
  <c r="J790" i="3"/>
  <c r="J474" i="3"/>
  <c r="N155" i="3"/>
  <c r="K124" i="4"/>
  <c r="K78" i="4"/>
  <c r="K37" i="4"/>
  <c r="U16" i="5"/>
  <c r="U19" i="5" s="1"/>
  <c r="U92" i="4"/>
  <c r="D84" i="4"/>
  <c r="D46" i="4"/>
  <c r="D93" i="4" s="1"/>
  <c r="D18" i="5" s="1"/>
  <c r="F84" i="4"/>
  <c r="F46" i="4"/>
  <c r="Z72" i="4"/>
  <c r="Z23" i="4"/>
  <c r="Z70" i="4" s="1"/>
  <c r="E71" i="4"/>
  <c r="E11" i="5" s="1"/>
  <c r="F123" i="4"/>
  <c r="E22" i="4"/>
  <c r="F126" i="4" s="1"/>
  <c r="Z90" i="4"/>
  <c r="U72" i="4"/>
  <c r="U23" i="4"/>
  <c r="U70" i="4" s="1"/>
  <c r="M53" i="4"/>
  <c r="M6" i="5" s="1"/>
  <c r="M9" i="5" s="1"/>
  <c r="N72" i="4"/>
  <c r="N23" i="4"/>
  <c r="N70" i="4" s="1"/>
  <c r="K16" i="5"/>
  <c r="K92" i="4"/>
  <c r="V71" i="4"/>
  <c r="V11" i="5" s="1"/>
  <c r="V22" i="4"/>
  <c r="W127" i="4" s="1"/>
  <c r="Q55" i="4"/>
  <c r="Q7" i="5" s="1"/>
  <c r="Q6" i="4"/>
  <c r="Q25" i="4"/>
  <c r="N125" i="4"/>
  <c r="M73" i="4"/>
  <c r="D71" i="4"/>
  <c r="D11" i="5" s="1"/>
  <c r="E123" i="4"/>
  <c r="G55" i="4"/>
  <c r="G7" i="5" s="1"/>
  <c r="G6" i="4"/>
  <c r="G25" i="4"/>
  <c r="W84" i="4"/>
  <c r="W46" i="4"/>
  <c r="N766" i="3"/>
  <c r="Q766" i="3"/>
  <c r="H173" i="3"/>
  <c r="F755" i="3"/>
  <c r="F129" i="3"/>
  <c r="I750" i="3" l="1"/>
  <c r="C94" i="2"/>
  <c r="C96" i="2" s="1"/>
  <c r="F133" i="3" s="1"/>
  <c r="F763" i="3" s="1"/>
  <c r="F147" i="3"/>
  <c r="F749" i="3"/>
  <c r="J201" i="3"/>
  <c r="G147" i="3"/>
  <c r="G145" i="3" s="1"/>
  <c r="C71" i="4"/>
  <c r="C11" i="5" s="1"/>
  <c r="J179" i="3"/>
  <c r="J228" i="3"/>
  <c r="G749" i="3"/>
  <c r="J147" i="3"/>
  <c r="H750" i="3"/>
  <c r="M261" i="3"/>
  <c r="M228" i="3"/>
  <c r="C12" i="1"/>
  <c r="F126" i="3"/>
  <c r="F770" i="3"/>
  <c r="AA36" i="4" s="1"/>
  <c r="AA125" i="4" s="1"/>
  <c r="M418" i="3"/>
  <c r="I256" i="3"/>
  <c r="M325" i="3"/>
  <c r="M349" i="3"/>
  <c r="Q228" i="3"/>
  <c r="Q179" i="3"/>
  <c r="Q201" i="3"/>
  <c r="Q261" i="3"/>
  <c r="T303" i="3"/>
  <c r="N349" i="3"/>
  <c r="N378" i="3"/>
  <c r="L598" i="3"/>
  <c r="D22" i="4"/>
  <c r="E126" i="4" s="1"/>
  <c r="T71" i="4"/>
  <c r="T11" i="5" s="1"/>
  <c r="Z89" i="4"/>
  <c r="J22" i="4"/>
  <c r="Z118" i="4"/>
  <c r="AA135" i="4"/>
  <c r="D21" i="1"/>
  <c r="D26" i="1" s="1"/>
  <c r="D28" i="1" s="1"/>
  <c r="AA66" i="4"/>
  <c r="AA137" i="4" s="1"/>
  <c r="N126" i="4"/>
  <c r="W126" i="4"/>
  <c r="W141" i="4" s="1"/>
  <c r="W142" i="4" s="1"/>
  <c r="M127" i="4"/>
  <c r="D127" i="4"/>
  <c r="L48" i="4"/>
  <c r="L95" i="4" s="1"/>
  <c r="V126" i="4"/>
  <c r="V141" i="4" s="1"/>
  <c r="V142" i="4" s="1"/>
  <c r="AA65" i="4"/>
  <c r="R71" i="4"/>
  <c r="R11" i="5" s="1"/>
  <c r="R22" i="4"/>
  <c r="S126" i="4" s="1"/>
  <c r="S123" i="4"/>
  <c r="R53" i="4"/>
  <c r="R6" i="5" s="1"/>
  <c r="R9" i="5" s="1"/>
  <c r="T48" i="4"/>
  <c r="T95" i="4" s="1"/>
  <c r="E48" i="4"/>
  <c r="E95" i="4" s="1"/>
  <c r="T19" i="5"/>
  <c r="N325" i="3"/>
  <c r="G755" i="3"/>
  <c r="N179" i="3"/>
  <c r="H378" i="3"/>
  <c r="H325" i="3"/>
  <c r="N228" i="3"/>
  <c r="H418" i="3"/>
  <c r="H261" i="3"/>
  <c r="H201" i="3"/>
  <c r="H179" i="3"/>
  <c r="P261" i="3"/>
  <c r="P228" i="3"/>
  <c r="P349" i="3"/>
  <c r="P179" i="3"/>
  <c r="P418" i="3"/>
  <c r="P325" i="3"/>
  <c r="N201" i="3"/>
  <c r="M141" i="4"/>
  <c r="M142" i="4" s="1"/>
  <c r="F141" i="4"/>
  <c r="F142" i="4" s="1"/>
  <c r="U141" i="4"/>
  <c r="U142" i="4" s="1"/>
  <c r="J12" i="5"/>
  <c r="G71" i="4"/>
  <c r="G11" i="5" s="1"/>
  <c r="G22" i="4"/>
  <c r="H124" i="4"/>
  <c r="H123" i="4"/>
  <c r="Q71" i="4"/>
  <c r="Q11" i="5" s="1"/>
  <c r="Q22" i="4"/>
  <c r="R126" i="4" s="1"/>
  <c r="R123" i="4"/>
  <c r="J749" i="3"/>
  <c r="J146" i="3"/>
  <c r="W53" i="4"/>
  <c r="W6" i="5" s="1"/>
  <c r="W9" i="5" s="1"/>
  <c r="L228" i="3"/>
  <c r="L261" i="3"/>
  <c r="L201" i="3"/>
  <c r="L179" i="3"/>
  <c r="S84" i="4"/>
  <c r="S46" i="4"/>
  <c r="H745" i="3"/>
  <c r="H603" i="3"/>
  <c r="H484" i="3"/>
  <c r="H464" i="3"/>
  <c r="H584" i="3"/>
  <c r="J412" i="3"/>
  <c r="J413" i="3"/>
  <c r="S69" i="4"/>
  <c r="B69" i="4"/>
  <c r="C126" i="4"/>
  <c r="C127" i="4"/>
  <c r="Z84" i="4"/>
  <c r="Z46" i="4"/>
  <c r="O53" i="4"/>
  <c r="O6" i="5" s="1"/>
  <c r="O9" i="5" s="1"/>
  <c r="X84" i="4"/>
  <c r="X46" i="4"/>
  <c r="L645" i="3"/>
  <c r="G93" i="4"/>
  <c r="G18" i="5" s="1"/>
  <c r="G19" i="5" s="1"/>
  <c r="G48" i="4"/>
  <c r="G95" i="4" s="1"/>
  <c r="R124" i="4"/>
  <c r="U127" i="4"/>
  <c r="K105" i="3"/>
  <c r="H749" i="3"/>
  <c r="H146" i="3"/>
  <c r="M343" i="3"/>
  <c r="J196" i="3"/>
  <c r="L603" i="3"/>
  <c r="L745" i="3"/>
  <c r="L584" i="3"/>
  <c r="L484" i="3"/>
  <c r="L464" i="3"/>
  <c r="O84" i="4"/>
  <c r="O46" i="4"/>
  <c r="U69" i="4"/>
  <c r="U118" i="4" s="1"/>
  <c r="V134" i="4" s="1"/>
  <c r="O22" i="4"/>
  <c r="P127" i="4" s="1"/>
  <c r="O71" i="4"/>
  <c r="O11" i="5" s="1"/>
  <c r="P123" i="4"/>
  <c r="K12" i="5"/>
  <c r="G123" i="4"/>
  <c r="F71" i="4"/>
  <c r="F11" i="5" s="1"/>
  <c r="F22" i="4"/>
  <c r="G124" i="4"/>
  <c r="L532" i="3"/>
  <c r="L533" i="3"/>
  <c r="C12" i="5"/>
  <c r="V69" i="4"/>
  <c r="F93" i="4"/>
  <c r="F18" i="5" s="1"/>
  <c r="F19" i="5" s="1"/>
  <c r="F48" i="4"/>
  <c r="F95" i="4" s="1"/>
  <c r="H53" i="4"/>
  <c r="H6" i="5" s="1"/>
  <c r="H9" i="5" s="1"/>
  <c r="I12" i="5"/>
  <c r="W71" i="4"/>
  <c r="W11" i="5" s="1"/>
  <c r="W22" i="4"/>
  <c r="X123" i="4"/>
  <c r="H174" i="3"/>
  <c r="H104" i="3"/>
  <c r="G53" i="4"/>
  <c r="G6" i="5" s="1"/>
  <c r="G9" i="5" s="1"/>
  <c r="Q53" i="4"/>
  <c r="Q6" i="5" s="1"/>
  <c r="Q9" i="5" s="1"/>
  <c r="Z16" i="5"/>
  <c r="Z92" i="4"/>
  <c r="O12" i="5"/>
  <c r="E69" i="4"/>
  <c r="E118" i="4" s="1"/>
  <c r="F134" i="4" s="1"/>
  <c r="F127" i="4"/>
  <c r="K126" i="4"/>
  <c r="K127" i="4"/>
  <c r="K84" i="4"/>
  <c r="K46" i="4"/>
  <c r="L378" i="3"/>
  <c r="L349" i="3"/>
  <c r="L325" i="3"/>
  <c r="L418" i="3"/>
  <c r="H12" i="5"/>
  <c r="L372" i="3"/>
  <c r="O745" i="3"/>
  <c r="O584" i="3"/>
  <c r="O484" i="3"/>
  <c r="O603" i="3"/>
  <c r="O464" i="3"/>
  <c r="J222" i="3"/>
  <c r="J223" i="3"/>
  <c r="T12" i="5"/>
  <c r="J173" i="3"/>
  <c r="K412" i="3"/>
  <c r="K413" i="3"/>
  <c r="X124" i="4"/>
  <c r="L682" i="3"/>
  <c r="F53" i="4"/>
  <c r="F6" i="5" s="1"/>
  <c r="F9" i="5" s="1"/>
  <c r="J603" i="3"/>
  <c r="J745" i="3"/>
  <c r="J584" i="3"/>
  <c r="J464" i="3"/>
  <c r="J484" i="3"/>
  <c r="E19" i="5"/>
  <c r="F746" i="3"/>
  <c r="F509" i="3"/>
  <c r="F538" i="3"/>
  <c r="F467" i="3"/>
  <c r="D69" i="4"/>
  <c r="D118" i="4" s="1"/>
  <c r="E134" i="4" s="1"/>
  <c r="K69" i="4"/>
  <c r="M93" i="4"/>
  <c r="M18" i="5" s="1"/>
  <c r="M19" i="5" s="1"/>
  <c r="M48" i="4"/>
  <c r="M95" i="4" s="1"/>
  <c r="L126" i="4"/>
  <c r="N12" i="5"/>
  <c r="I53" i="4"/>
  <c r="I6" i="5" s="1"/>
  <c r="I9" i="5" s="1"/>
  <c r="K195" i="3"/>
  <c r="L619" i="3"/>
  <c r="L103" i="3"/>
  <c r="AG121" i="4" s="1"/>
  <c r="C69" i="4"/>
  <c r="C118" i="4" s="1"/>
  <c r="D134" i="4" s="1"/>
  <c r="T69" i="4"/>
  <c r="E127" i="4"/>
  <c r="L19" i="5"/>
  <c r="F687" i="3"/>
  <c r="F747" i="3"/>
  <c r="F603" i="3"/>
  <c r="F624" i="3"/>
  <c r="F650" i="3"/>
  <c r="F587" i="3"/>
  <c r="Q46" i="4"/>
  <c r="Q84" i="4"/>
  <c r="U12" i="5"/>
  <c r="N93" i="4"/>
  <c r="N18" i="5" s="1"/>
  <c r="N19" i="5" s="1"/>
  <c r="N48" i="4"/>
  <c r="N95" i="4" s="1"/>
  <c r="I71" i="4"/>
  <c r="I11" i="5" s="1"/>
  <c r="I22" i="4"/>
  <c r="J126" i="4" s="1"/>
  <c r="J123" i="4"/>
  <c r="M603" i="3"/>
  <c r="M745" i="3"/>
  <c r="M584" i="3"/>
  <c r="M484" i="3"/>
  <c r="M464" i="3"/>
  <c r="I749" i="3"/>
  <c r="I146" i="3"/>
  <c r="Y12" i="5"/>
  <c r="J69" i="4"/>
  <c r="Q745" i="3"/>
  <c r="Q603" i="3"/>
  <c r="Q464" i="3"/>
  <c r="Q484" i="3"/>
  <c r="Q584" i="3"/>
  <c r="D19" i="5"/>
  <c r="F261" i="3"/>
  <c r="F201" i="3"/>
  <c r="F179" i="3"/>
  <c r="F228" i="3"/>
  <c r="G165" i="3"/>
  <c r="G305" i="3"/>
  <c r="G745" i="3"/>
  <c r="G484" i="3"/>
  <c r="G584" i="3"/>
  <c r="G464" i="3"/>
  <c r="O378" i="3"/>
  <c r="O349" i="3"/>
  <c r="O325" i="3"/>
  <c r="O418" i="3"/>
  <c r="H13" i="3"/>
  <c r="G302" i="3"/>
  <c r="G315" i="3" s="1"/>
  <c r="D93" i="2"/>
  <c r="D94" i="2" s="1"/>
  <c r="D96" i="2" s="1"/>
  <c r="G133" i="3" s="1"/>
  <c r="E92" i="2"/>
  <c r="P745" i="3"/>
  <c r="P603" i="3"/>
  <c r="P464" i="3"/>
  <c r="P484" i="3"/>
  <c r="P584" i="3"/>
  <c r="F378" i="3"/>
  <c r="F308" i="3"/>
  <c r="F418" i="3"/>
  <c r="F349" i="3"/>
  <c r="F325" i="3"/>
  <c r="F145" i="3"/>
  <c r="O261" i="3"/>
  <c r="O201" i="3"/>
  <c r="O179" i="3"/>
  <c r="O228" i="3"/>
  <c r="R582" i="3"/>
  <c r="R462" i="3"/>
  <c r="W93" i="4"/>
  <c r="W18" i="5" s="1"/>
  <c r="W19" i="5" s="1"/>
  <c r="W48" i="4"/>
  <c r="W95" i="4" s="1"/>
  <c r="N22" i="4"/>
  <c r="N71" i="4"/>
  <c r="N11" i="5" s="1"/>
  <c r="O123" i="4"/>
  <c r="H175" i="3"/>
  <c r="H176" i="3" s="1"/>
  <c r="I169" i="3" s="1"/>
  <c r="I32" i="3"/>
  <c r="Y84" i="4"/>
  <c r="Y46" i="4"/>
  <c r="N141" i="4"/>
  <c r="N142" i="4" s="1"/>
  <c r="J84" i="4"/>
  <c r="J46" i="4"/>
  <c r="E141" i="4"/>
  <c r="E142" i="4" s="1"/>
  <c r="M12" i="5"/>
  <c r="D141" i="4"/>
  <c r="D142" i="4" s="1"/>
  <c r="N745" i="3"/>
  <c r="N603" i="3"/>
  <c r="N584" i="3"/>
  <c r="N484" i="3"/>
  <c r="N464" i="3"/>
  <c r="H71" i="4"/>
  <c r="H11" i="5" s="1"/>
  <c r="H22" i="4"/>
  <c r="I127" i="4" s="1"/>
  <c r="I123" i="4"/>
  <c r="V93" i="4"/>
  <c r="V18" i="5" s="1"/>
  <c r="V19" i="5" s="1"/>
  <c r="V48" i="4"/>
  <c r="V95" i="4" s="1"/>
  <c r="K603" i="3"/>
  <c r="K745" i="3"/>
  <c r="K584" i="3"/>
  <c r="K484" i="3"/>
  <c r="K464" i="3"/>
  <c r="N53" i="4"/>
  <c r="N6" i="5" s="1"/>
  <c r="N9" i="5" s="1"/>
  <c r="T126" i="4"/>
  <c r="AA62" i="4"/>
  <c r="I745" i="3"/>
  <c r="I464" i="3"/>
  <c r="I603" i="3"/>
  <c r="I484" i="3"/>
  <c r="I584" i="3"/>
  <c r="H169" i="3"/>
  <c r="P84" i="4"/>
  <c r="P46" i="4"/>
  <c r="M69" i="4"/>
  <c r="M118" i="4" s="1"/>
  <c r="N134" i="4" s="1"/>
  <c r="I773" i="3"/>
  <c r="P53" i="4"/>
  <c r="P6" i="5" s="1"/>
  <c r="P9" i="5" s="1"/>
  <c r="Y53" i="4"/>
  <c r="Y6" i="5" s="1"/>
  <c r="Y9" i="5" s="1"/>
  <c r="H48" i="4"/>
  <c r="H95" i="4" s="1"/>
  <c r="D48" i="4"/>
  <c r="D95" i="4" s="1"/>
  <c r="I84" i="4"/>
  <c r="I46" i="4"/>
  <c r="X53" i="4"/>
  <c r="X6" i="5" s="1"/>
  <c r="X9" i="5" s="1"/>
  <c r="R127" i="4"/>
  <c r="R46" i="4"/>
  <c r="R84" i="4"/>
  <c r="J344" i="3"/>
  <c r="E12" i="5"/>
  <c r="F315" i="3"/>
  <c r="F313" i="3"/>
  <c r="F134" i="3" s="1"/>
  <c r="F764" i="3" s="1"/>
  <c r="AB110" i="4"/>
  <c r="G117" i="3"/>
  <c r="G109" i="3"/>
  <c r="G118" i="3"/>
  <c r="G111" i="3"/>
  <c r="H8" i="3"/>
  <c r="G113" i="3"/>
  <c r="G107" i="3"/>
  <c r="AB119" i="4" s="1"/>
  <c r="G120" i="3"/>
  <c r="AA111" i="4"/>
  <c r="AA68" i="4"/>
  <c r="AA94" i="4"/>
  <c r="AA17" i="5" s="1"/>
  <c r="AA61" i="4"/>
  <c r="AA64" i="4"/>
  <c r="AA63" i="4"/>
  <c r="AA67" i="4"/>
  <c r="J373" i="3"/>
  <c r="D12" i="5"/>
  <c r="L69" i="4"/>
  <c r="L118" i="4" s="1"/>
  <c r="M134" i="4" s="1"/>
  <c r="K320" i="3"/>
  <c r="P22" i="4"/>
  <c r="P71" i="4"/>
  <c r="P11" i="5" s="1"/>
  <c r="Q123" i="4"/>
  <c r="Y71" i="4"/>
  <c r="Y11" i="5" s="1"/>
  <c r="Y22" i="4"/>
  <c r="Z126" i="4" s="1"/>
  <c r="Z123" i="4"/>
  <c r="L12" i="5"/>
  <c r="L503" i="3"/>
  <c r="L504" i="3"/>
  <c r="X71" i="4"/>
  <c r="X11" i="5" s="1"/>
  <c r="X22" i="4"/>
  <c r="Y126" i="4" s="1"/>
  <c r="Y123" i="4"/>
  <c r="Z10" i="5"/>
  <c r="AA133" i="4"/>
  <c r="F774" i="3"/>
  <c r="F772" i="3" s="1"/>
  <c r="G795" i="3"/>
  <c r="F792" i="3" l="1"/>
  <c r="AA83" i="4"/>
  <c r="I255" i="3"/>
  <c r="I102" i="3"/>
  <c r="AD120" i="4" s="1"/>
  <c r="AD122" i="4" s="1"/>
  <c r="J102" i="3"/>
  <c r="AE120" i="4" s="1"/>
  <c r="AE122" i="4" s="1"/>
  <c r="M598" i="3"/>
  <c r="U303" i="3"/>
  <c r="AB135" i="4"/>
  <c r="E21" i="1"/>
  <c r="E26" i="1" s="1"/>
  <c r="E28" i="1" s="1"/>
  <c r="AB62" i="4"/>
  <c r="P126" i="4"/>
  <c r="P141" i="4" s="1"/>
  <c r="P142" i="4" s="1"/>
  <c r="Y127" i="4"/>
  <c r="S127" i="4"/>
  <c r="R69" i="4"/>
  <c r="Z141" i="4"/>
  <c r="Z142" i="4" s="1"/>
  <c r="C14" i="1"/>
  <c r="C36" i="1" s="1"/>
  <c r="J141" i="4"/>
  <c r="J142" i="4" s="1"/>
  <c r="L320" i="3"/>
  <c r="I48" i="4"/>
  <c r="I95" i="4" s="1"/>
  <c r="I93" i="4"/>
  <c r="I18" i="5" s="1"/>
  <c r="I19" i="5" s="1"/>
  <c r="I747" i="3"/>
  <c r="I650" i="3"/>
  <c r="I624" i="3"/>
  <c r="I587" i="3"/>
  <c r="I687" i="3"/>
  <c r="K747" i="3"/>
  <c r="K687" i="3"/>
  <c r="K650" i="3"/>
  <c r="K624" i="3"/>
  <c r="K587" i="3"/>
  <c r="N746" i="3"/>
  <c r="N509" i="3"/>
  <c r="N538" i="3"/>
  <c r="N467" i="3"/>
  <c r="N69" i="4"/>
  <c r="P746" i="3"/>
  <c r="P538" i="3"/>
  <c r="P509" i="3"/>
  <c r="P467" i="3"/>
  <c r="Q747" i="3"/>
  <c r="Q650" i="3"/>
  <c r="Q624" i="3"/>
  <c r="Q687" i="3"/>
  <c r="Q587" i="3"/>
  <c r="F132" i="3"/>
  <c r="F125" i="3" s="1"/>
  <c r="F135" i="3" s="1"/>
  <c r="F137" i="3" s="1"/>
  <c r="K130" i="4"/>
  <c r="L132" i="4"/>
  <c r="L136" i="4"/>
  <c r="K143" i="4"/>
  <c r="K10" i="5"/>
  <c r="K13" i="5" s="1"/>
  <c r="L133" i="4"/>
  <c r="F788" i="3"/>
  <c r="F784" i="3" s="1"/>
  <c r="K222" i="3"/>
  <c r="K223" i="3"/>
  <c r="I174" i="3"/>
  <c r="I104" i="3"/>
  <c r="L746" i="3"/>
  <c r="L467" i="3"/>
  <c r="L538" i="3"/>
  <c r="L509" i="3"/>
  <c r="K196" i="3"/>
  <c r="C141" i="4"/>
  <c r="C142" i="4" s="1"/>
  <c r="H747" i="3"/>
  <c r="H650" i="3"/>
  <c r="H624" i="3"/>
  <c r="H687" i="3"/>
  <c r="H587" i="3"/>
  <c r="S93" i="4"/>
  <c r="S18" i="5" s="1"/>
  <c r="S19" i="5" s="1"/>
  <c r="S48" i="4"/>
  <c r="S95" i="4" s="1"/>
  <c r="H737" i="3"/>
  <c r="H141" i="3"/>
  <c r="J93" i="4"/>
  <c r="J18" i="5" s="1"/>
  <c r="J19" i="5" s="1"/>
  <c r="J48" i="4"/>
  <c r="J95" i="4" s="1"/>
  <c r="Y93" i="4"/>
  <c r="Y18" i="5" s="1"/>
  <c r="Y19" i="5" s="1"/>
  <c r="Y48" i="4"/>
  <c r="Y95" i="4" s="1"/>
  <c r="G746" i="3"/>
  <c r="G538" i="3"/>
  <c r="G509" i="3"/>
  <c r="G467" i="3"/>
  <c r="G261" i="3"/>
  <c r="G201" i="3"/>
  <c r="G179" i="3"/>
  <c r="G228" i="3"/>
  <c r="F765" i="3"/>
  <c r="AA35" i="4" s="1"/>
  <c r="L105" i="3"/>
  <c r="K141" i="4"/>
  <c r="K142" i="4" s="1"/>
  <c r="AB44" i="4"/>
  <c r="AB91" i="4" s="1"/>
  <c r="G748" i="3"/>
  <c r="O69" i="4"/>
  <c r="B10" i="5"/>
  <c r="B13" i="5" s="1"/>
  <c r="C136" i="4"/>
  <c r="C132" i="4"/>
  <c r="C133" i="4"/>
  <c r="B118" i="4"/>
  <c r="C134" i="4" s="1"/>
  <c r="H746" i="3"/>
  <c r="H538" i="3"/>
  <c r="H509" i="3"/>
  <c r="H467" i="3"/>
  <c r="N687" i="3"/>
  <c r="N747" i="3"/>
  <c r="N650" i="3"/>
  <c r="N587" i="3"/>
  <c r="N624" i="3"/>
  <c r="Y141" i="4"/>
  <c r="Y142" i="4" s="1"/>
  <c r="B14" i="1"/>
  <c r="B36" i="1" s="1"/>
  <c r="H302" i="3"/>
  <c r="I13" i="3"/>
  <c r="E93" i="2"/>
  <c r="E94" i="2" s="1"/>
  <c r="E96" i="2" s="1"/>
  <c r="H133" i="3" s="1"/>
  <c r="F92" i="2"/>
  <c r="G687" i="3"/>
  <c r="G650" i="3"/>
  <c r="G624" i="3"/>
  <c r="G747" i="3"/>
  <c r="G603" i="3"/>
  <c r="G587" i="3"/>
  <c r="M503" i="3"/>
  <c r="M504" i="3"/>
  <c r="Z13" i="5"/>
  <c r="C13" i="1"/>
  <c r="D30" i="1" s="1"/>
  <c r="G763" i="3"/>
  <c r="K373" i="3"/>
  <c r="AB111" i="4"/>
  <c r="AB61" i="4"/>
  <c r="AB68" i="4"/>
  <c r="AB64" i="4"/>
  <c r="AB94" i="4"/>
  <c r="AB17" i="5" s="1"/>
  <c r="AB67" i="4"/>
  <c r="AB63" i="4"/>
  <c r="AB66" i="4"/>
  <c r="AB137" i="4" s="1"/>
  <c r="AB65" i="4"/>
  <c r="K344" i="3"/>
  <c r="G738" i="3"/>
  <c r="G736" i="3" s="1"/>
  <c r="G142" i="3"/>
  <c r="Q746" i="3"/>
  <c r="Q538" i="3"/>
  <c r="Q509" i="3"/>
  <c r="Q467" i="3"/>
  <c r="I145" i="3"/>
  <c r="M619" i="3"/>
  <c r="M103" i="3"/>
  <c r="AH121" i="4" s="1"/>
  <c r="J746" i="3"/>
  <c r="J538" i="3"/>
  <c r="J509" i="3"/>
  <c r="J467" i="3"/>
  <c r="L412" i="3"/>
  <c r="L413" i="3"/>
  <c r="W69" i="4"/>
  <c r="V10" i="5"/>
  <c r="V13" i="5" s="1"/>
  <c r="V143" i="4"/>
  <c r="W133" i="4"/>
  <c r="W136" i="4"/>
  <c r="W132" i="4"/>
  <c r="V130" i="4"/>
  <c r="V118" i="4"/>
  <c r="W134" i="4" s="1"/>
  <c r="F69" i="4"/>
  <c r="G127" i="4"/>
  <c r="G126" i="4"/>
  <c r="V132" i="4"/>
  <c r="U143" i="4"/>
  <c r="U10" i="5"/>
  <c r="U13" i="5" s="1"/>
  <c r="V133" i="4"/>
  <c r="U130" i="4"/>
  <c r="V136" i="4"/>
  <c r="M372" i="3"/>
  <c r="M645" i="3"/>
  <c r="S10" i="5"/>
  <c r="S13" i="5" s="1"/>
  <c r="S130" i="4"/>
  <c r="T132" i="4"/>
  <c r="T133" i="4"/>
  <c r="T136" i="4"/>
  <c r="S118" i="4"/>
  <c r="T134" i="4" s="1"/>
  <c r="G69" i="4"/>
  <c r="H127" i="4"/>
  <c r="H126" i="4"/>
  <c r="P69" i="4"/>
  <c r="I69" i="4"/>
  <c r="J143" i="4" s="1"/>
  <c r="Q93" i="4"/>
  <c r="Q18" i="5" s="1"/>
  <c r="Q19" i="5" s="1"/>
  <c r="Q48" i="4"/>
  <c r="Q95" i="4" s="1"/>
  <c r="E132" i="4"/>
  <c r="D10" i="5"/>
  <c r="D13" i="5" s="1"/>
  <c r="D143" i="4"/>
  <c r="E133" i="4"/>
  <c r="D130" i="4"/>
  <c r="E136" i="4"/>
  <c r="J747" i="3"/>
  <c r="J650" i="3"/>
  <c r="J624" i="3"/>
  <c r="J687" i="3"/>
  <c r="J587" i="3"/>
  <c r="M682" i="3"/>
  <c r="F132" i="4"/>
  <c r="E143" i="4"/>
  <c r="F133" i="4"/>
  <c r="E130" i="4"/>
  <c r="E10" i="5"/>
  <c r="E13" i="5" s="1"/>
  <c r="F136" i="4"/>
  <c r="L687" i="3"/>
  <c r="L747" i="3"/>
  <c r="L650" i="3"/>
  <c r="L624" i="3"/>
  <c r="L587" i="3"/>
  <c r="N343" i="3"/>
  <c r="Z127" i="4"/>
  <c r="S141" i="4"/>
  <c r="S142" i="4" s="1"/>
  <c r="J145" i="3"/>
  <c r="J773" i="3"/>
  <c r="I175" i="3"/>
  <c r="I176" i="3" s="1"/>
  <c r="J32" i="3"/>
  <c r="M746" i="3"/>
  <c r="M467" i="3"/>
  <c r="M538" i="3"/>
  <c r="M509" i="3"/>
  <c r="Q126" i="4"/>
  <c r="U132" i="4"/>
  <c r="T10" i="5"/>
  <c r="T13" i="5" s="1"/>
  <c r="U133" i="4"/>
  <c r="T130" i="4"/>
  <c r="T143" i="4"/>
  <c r="U136" i="4"/>
  <c r="O746" i="3"/>
  <c r="O467" i="3"/>
  <c r="O538" i="3"/>
  <c r="O509" i="3"/>
  <c r="M532" i="3"/>
  <c r="M533" i="3"/>
  <c r="O93" i="4"/>
  <c r="O18" i="5" s="1"/>
  <c r="O19" i="5" s="1"/>
  <c r="O48" i="4"/>
  <c r="O95" i="4" s="1"/>
  <c r="X126" i="4"/>
  <c r="Z93" i="4"/>
  <c r="Z18" i="5" s="1"/>
  <c r="Z19" i="5" s="1"/>
  <c r="Z48" i="4"/>
  <c r="Z95" i="4" s="1"/>
  <c r="AC110" i="4"/>
  <c r="H120" i="3"/>
  <c r="H117" i="3"/>
  <c r="H109" i="3"/>
  <c r="I8" i="3"/>
  <c r="H118" i="3"/>
  <c r="H113" i="3"/>
  <c r="H111" i="3"/>
  <c r="H107" i="3"/>
  <c r="AC119" i="4" s="1"/>
  <c r="F21" i="1" s="1"/>
  <c r="K102" i="3"/>
  <c r="AF120" i="4" s="1"/>
  <c r="AF122" i="4" s="1"/>
  <c r="Q127" i="4"/>
  <c r="K118" i="4"/>
  <c r="L134" i="4" s="1"/>
  <c r="O126" i="4"/>
  <c r="H145" i="3"/>
  <c r="X93" i="4"/>
  <c r="X18" i="5" s="1"/>
  <c r="X19" i="5" s="1"/>
  <c r="X48" i="4"/>
  <c r="X95" i="4" s="1"/>
  <c r="G774" i="3"/>
  <c r="G772" i="3" s="1"/>
  <c r="H795" i="3"/>
  <c r="I737" i="3"/>
  <c r="I141" i="3"/>
  <c r="I746" i="3"/>
  <c r="I538" i="3"/>
  <c r="I509" i="3"/>
  <c r="I467" i="3"/>
  <c r="R141" i="4"/>
  <c r="R142" i="4" s="1"/>
  <c r="N132" i="4"/>
  <c r="M10" i="5"/>
  <c r="M13" i="5" s="1"/>
  <c r="M143" i="4"/>
  <c r="N136" i="4"/>
  <c r="N133" i="4"/>
  <c r="M130" i="4"/>
  <c r="K136" i="4"/>
  <c r="K133" i="4"/>
  <c r="J10" i="5"/>
  <c r="J13" i="5" s="1"/>
  <c r="K132" i="4"/>
  <c r="K173" i="3"/>
  <c r="L141" i="4"/>
  <c r="L142" i="4" s="1"/>
  <c r="T118" i="4"/>
  <c r="U134" i="4" s="1"/>
  <c r="P747" i="3"/>
  <c r="P650" i="3"/>
  <c r="P624" i="3"/>
  <c r="P587" i="3"/>
  <c r="P687" i="3"/>
  <c r="L195" i="3"/>
  <c r="K93" i="4"/>
  <c r="K18" i="5" s="1"/>
  <c r="K19" i="5" s="1"/>
  <c r="K48" i="4"/>
  <c r="K95" i="4" s="1"/>
  <c r="Q69" i="4"/>
  <c r="X69" i="4"/>
  <c r="B30" i="1" s="1"/>
  <c r="Y69" i="4"/>
  <c r="B12" i="1"/>
  <c r="M132" i="4"/>
  <c r="M136" i="4"/>
  <c r="L10" i="5"/>
  <c r="L13" i="5" s="1"/>
  <c r="M133" i="4"/>
  <c r="L130" i="4"/>
  <c r="L143" i="4"/>
  <c r="F738" i="3"/>
  <c r="F736" i="3" s="1"/>
  <c r="F142" i="3"/>
  <c r="F140" i="3" s="1"/>
  <c r="R93" i="4"/>
  <c r="R18" i="5" s="1"/>
  <c r="R19" i="5" s="1"/>
  <c r="R48" i="4"/>
  <c r="R95" i="4" s="1"/>
  <c r="K746" i="3"/>
  <c r="K467" i="3"/>
  <c r="K538" i="3"/>
  <c r="K509" i="3"/>
  <c r="H69" i="4"/>
  <c r="C10" i="5"/>
  <c r="C13" i="5" s="1"/>
  <c r="C130" i="4"/>
  <c r="D132" i="4"/>
  <c r="C143" i="4"/>
  <c r="D133" i="4"/>
  <c r="D136" i="4"/>
  <c r="I126" i="4"/>
  <c r="P93" i="4"/>
  <c r="P18" i="5" s="1"/>
  <c r="P19" i="5" s="1"/>
  <c r="P48" i="4"/>
  <c r="P95" i="4" s="1"/>
  <c r="T141" i="4"/>
  <c r="T142" i="4" s="1"/>
  <c r="J127" i="4"/>
  <c r="S582" i="3"/>
  <c r="S462" i="3"/>
  <c r="AA44" i="4"/>
  <c r="AA91" i="4" s="1"/>
  <c r="F748" i="3"/>
  <c r="G378" i="3"/>
  <c r="G308" i="3"/>
  <c r="G349" i="3"/>
  <c r="G325" i="3"/>
  <c r="G418" i="3"/>
  <c r="M687" i="3"/>
  <c r="M624" i="3"/>
  <c r="M587" i="3"/>
  <c r="M747" i="3"/>
  <c r="M650" i="3"/>
  <c r="O687" i="3"/>
  <c r="O747" i="3"/>
  <c r="O650" i="3"/>
  <c r="O624" i="3"/>
  <c r="O587" i="3"/>
  <c r="O127" i="4"/>
  <c r="X127" i="4"/>
  <c r="J118" i="4"/>
  <c r="K134" i="4" s="1"/>
  <c r="J256" i="3" l="1"/>
  <c r="J255" i="3"/>
  <c r="V303" i="3"/>
  <c r="Q788" i="3"/>
  <c r="N598" i="3"/>
  <c r="G788" i="3"/>
  <c r="G784" i="3" s="1"/>
  <c r="T138" i="4"/>
  <c r="C138" i="4"/>
  <c r="R118" i="4"/>
  <c r="S134" i="4" s="1"/>
  <c r="R10" i="5"/>
  <c r="R13" i="5" s="1"/>
  <c r="S132" i="4"/>
  <c r="S133" i="4"/>
  <c r="S143" i="4"/>
  <c r="E138" i="4"/>
  <c r="S136" i="4"/>
  <c r="H788" i="3"/>
  <c r="K788" i="3"/>
  <c r="I788" i="3"/>
  <c r="O141" i="4"/>
  <c r="O142" i="4" s="1"/>
  <c r="X141" i="4"/>
  <c r="X142" i="4" s="1"/>
  <c r="N372" i="3"/>
  <c r="G10" i="5"/>
  <c r="G13" i="5" s="1"/>
  <c r="G143" i="4"/>
  <c r="H133" i="4"/>
  <c r="H136" i="4"/>
  <c r="H132" i="4"/>
  <c r="G130" i="4"/>
  <c r="G118" i="4"/>
  <c r="H134" i="4" s="1"/>
  <c r="V138" i="4"/>
  <c r="N619" i="3"/>
  <c r="N103" i="3"/>
  <c r="AI121" i="4" s="1"/>
  <c r="G140" i="3"/>
  <c r="L373" i="3"/>
  <c r="H315" i="3"/>
  <c r="H308" i="3"/>
  <c r="L222" i="3"/>
  <c r="L223" i="3"/>
  <c r="H10" i="5"/>
  <c r="H13" i="5" s="1"/>
  <c r="I133" i="4"/>
  <c r="I136" i="4"/>
  <c r="H143" i="4"/>
  <c r="I132" i="4"/>
  <c r="H130" i="4"/>
  <c r="H118" i="4"/>
  <c r="I134" i="4" s="1"/>
  <c r="X10" i="5"/>
  <c r="X13" i="5" s="1"/>
  <c r="Y133" i="4"/>
  <c r="Y136" i="4"/>
  <c r="X143" i="4"/>
  <c r="Y132" i="4"/>
  <c r="X130" i="4"/>
  <c r="X118" i="4"/>
  <c r="Y134" i="4" s="1"/>
  <c r="AC111" i="4"/>
  <c r="AC61" i="4"/>
  <c r="AC64" i="4"/>
  <c r="AC67" i="4"/>
  <c r="AC65" i="4"/>
  <c r="AC63" i="4"/>
  <c r="AC68" i="4"/>
  <c r="AC66" i="4"/>
  <c r="AC137" i="4" s="1"/>
  <c r="AC94" i="4"/>
  <c r="AC17" i="5" s="1"/>
  <c r="AC62" i="4"/>
  <c r="Q141" i="4"/>
  <c r="Q142" i="4" s="1"/>
  <c r="O343" i="3"/>
  <c r="N682" i="3"/>
  <c r="N645" i="3"/>
  <c r="L344" i="3"/>
  <c r="B38" i="1"/>
  <c r="B39" i="1"/>
  <c r="B41" i="1" s="1"/>
  <c r="AA82" i="4"/>
  <c r="K138" i="4"/>
  <c r="P788" i="3"/>
  <c r="AA43" i="4"/>
  <c r="Q10" i="5"/>
  <c r="Q13" i="5" s="1"/>
  <c r="R136" i="4"/>
  <c r="Q130" i="4"/>
  <c r="R132" i="4"/>
  <c r="Q143" i="4"/>
  <c r="R133" i="4"/>
  <c r="R130" i="4"/>
  <c r="Q118" i="4"/>
  <c r="R134" i="4" s="1"/>
  <c r="R143" i="4"/>
  <c r="F26" i="1"/>
  <c r="O788" i="3"/>
  <c r="I10" i="5"/>
  <c r="I13" i="5" s="1"/>
  <c r="J136" i="4"/>
  <c r="I130" i="4"/>
  <c r="J133" i="4"/>
  <c r="I143" i="4"/>
  <c r="J132" i="4"/>
  <c r="I118" i="4"/>
  <c r="J134" i="4" s="1"/>
  <c r="J788" i="3"/>
  <c r="L788" i="3"/>
  <c r="K32" i="3"/>
  <c r="J175" i="3"/>
  <c r="J176" i="3" s="1"/>
  <c r="AE44" i="4"/>
  <c r="J748" i="3"/>
  <c r="F780" i="3"/>
  <c r="F144" i="3"/>
  <c r="F160" i="3"/>
  <c r="F139" i="3"/>
  <c r="F138" i="3" s="1"/>
  <c r="C38" i="1"/>
  <c r="C39" i="1"/>
  <c r="C41" i="1" s="1"/>
  <c r="D138" i="4"/>
  <c r="M412" i="3"/>
  <c r="M413" i="3"/>
  <c r="G141" i="4"/>
  <c r="G142" i="4" s="1"/>
  <c r="AD44" i="4"/>
  <c r="I748" i="3"/>
  <c r="N503" i="3"/>
  <c r="N504" i="3"/>
  <c r="J130" i="4"/>
  <c r="N532" i="3"/>
  <c r="N533" i="3"/>
  <c r="M788" i="3"/>
  <c r="P10" i="5"/>
  <c r="P13" i="5" s="1"/>
  <c r="Q133" i="4"/>
  <c r="Q136" i="4"/>
  <c r="P143" i="4"/>
  <c r="P130" i="4"/>
  <c r="Q132" i="4"/>
  <c r="P118" i="4"/>
  <c r="Q134" i="4" s="1"/>
  <c r="L173" i="3"/>
  <c r="J174" i="3"/>
  <c r="J104" i="3"/>
  <c r="N10" i="5"/>
  <c r="N13" i="5" s="1"/>
  <c r="N143" i="4"/>
  <c r="O133" i="4"/>
  <c r="O136" i="4"/>
  <c r="O132" i="4"/>
  <c r="N130" i="4"/>
  <c r="N138" i="4" s="1"/>
  <c r="N118" i="4"/>
  <c r="O134" i="4" s="1"/>
  <c r="T582" i="3"/>
  <c r="T462" i="3"/>
  <c r="I141" i="4"/>
  <c r="I142" i="4" s="1"/>
  <c r="AD110" i="4"/>
  <c r="I118" i="3"/>
  <c r="I111" i="3"/>
  <c r="I117" i="3"/>
  <c r="I109" i="3"/>
  <c r="I120" i="3"/>
  <c r="I113" i="3"/>
  <c r="J8" i="3"/>
  <c r="I107" i="3"/>
  <c r="AD119" i="4" s="1"/>
  <c r="F10" i="5"/>
  <c r="F13" i="5" s="1"/>
  <c r="F143" i="4"/>
  <c r="G133" i="4"/>
  <c r="F130" i="4"/>
  <c r="F138" i="4" s="1"/>
  <c r="G132" i="4"/>
  <c r="G136" i="4"/>
  <c r="F118" i="4"/>
  <c r="G134" i="4" s="1"/>
  <c r="M195" i="3"/>
  <c r="M138" i="4"/>
  <c r="AC44" i="4"/>
  <c r="AC91" i="4" s="1"/>
  <c r="H748" i="3"/>
  <c r="K255" i="3"/>
  <c r="K256" i="3"/>
  <c r="H141" i="4"/>
  <c r="H142" i="4" s="1"/>
  <c r="U138" i="4"/>
  <c r="W10" i="5"/>
  <c r="W13" i="5" s="1"/>
  <c r="W143" i="4"/>
  <c r="X133" i="4"/>
  <c r="X136" i="4"/>
  <c r="X132" i="4"/>
  <c r="W130" i="4"/>
  <c r="W138" i="4" s="1"/>
  <c r="W118" i="4"/>
  <c r="X134" i="4" s="1"/>
  <c r="H763" i="3"/>
  <c r="O10" i="5"/>
  <c r="O13" i="5" s="1"/>
  <c r="O143" i="4"/>
  <c r="P133" i="4"/>
  <c r="P136" i="4"/>
  <c r="O130" i="4"/>
  <c r="P132" i="4"/>
  <c r="O118" i="4"/>
  <c r="P134" i="4" s="1"/>
  <c r="L196" i="3"/>
  <c r="AC135" i="4"/>
  <c r="L138" i="4"/>
  <c r="Y10" i="5"/>
  <c r="Z136" i="4"/>
  <c r="Y130" i="4"/>
  <c r="Y143" i="4"/>
  <c r="Z132" i="4"/>
  <c r="Z133" i="4"/>
  <c r="Z130" i="4"/>
  <c r="Z143" i="4"/>
  <c r="Y118" i="4"/>
  <c r="Z134" i="4" s="1"/>
  <c r="I795" i="3"/>
  <c r="H774" i="3"/>
  <c r="K773" i="3"/>
  <c r="M105" i="3"/>
  <c r="I302" i="3"/>
  <c r="J13" i="3"/>
  <c r="F93" i="2"/>
  <c r="F94" i="2" s="1"/>
  <c r="F96" i="2" s="1"/>
  <c r="I133" i="3" s="1"/>
  <c r="G92" i="2"/>
  <c r="N788" i="3"/>
  <c r="M320" i="3"/>
  <c r="O598" i="3" l="1"/>
  <c r="W303" i="3"/>
  <c r="AD135" i="4"/>
  <c r="G21" i="1"/>
  <c r="G26" i="1" s="1"/>
  <c r="S138" i="4"/>
  <c r="I138" i="4"/>
  <c r="Y138" i="4"/>
  <c r="AD91" i="4"/>
  <c r="H138" i="4"/>
  <c r="AD111" i="4"/>
  <c r="AD65" i="4"/>
  <c r="AD64" i="4"/>
  <c r="AD68" i="4"/>
  <c r="AD61" i="4"/>
  <c r="AD67" i="4"/>
  <c r="AD63" i="4"/>
  <c r="AD94" i="4"/>
  <c r="AD17" i="5" s="1"/>
  <c r="AD66" i="4"/>
  <c r="AD137" i="4" s="1"/>
  <c r="AD62" i="4"/>
  <c r="J138" i="4"/>
  <c r="F742" i="3"/>
  <c r="F751" i="3" s="1"/>
  <c r="AA41" i="4" s="1"/>
  <c r="AA88" i="4" s="1"/>
  <c r="F143" i="3"/>
  <c r="O682" i="3"/>
  <c r="N413" i="3"/>
  <c r="N412" i="3"/>
  <c r="L773" i="3"/>
  <c r="J302" i="3"/>
  <c r="G93" i="2"/>
  <c r="G94" i="2" s="1"/>
  <c r="G96" i="2" s="1"/>
  <c r="J133" i="3" s="1"/>
  <c r="H92" i="2"/>
  <c r="K13" i="3"/>
  <c r="Y13" i="5"/>
  <c r="B13" i="1"/>
  <c r="C30" i="1" s="1"/>
  <c r="O138" i="4"/>
  <c r="P138" i="4"/>
  <c r="B42" i="1"/>
  <c r="M222" i="3"/>
  <c r="M223" i="3"/>
  <c r="AB43" i="4"/>
  <c r="I308" i="3"/>
  <c r="I315" i="3"/>
  <c r="H784" i="3"/>
  <c r="G780" i="3"/>
  <c r="L32" i="3"/>
  <c r="K175" i="3"/>
  <c r="K176" i="3" s="1"/>
  <c r="R138" i="4"/>
  <c r="AA90" i="4"/>
  <c r="AA45" i="4"/>
  <c r="O372" i="3"/>
  <c r="X138" i="4"/>
  <c r="G138" i="4"/>
  <c r="AE110" i="4"/>
  <c r="J109" i="3"/>
  <c r="J113" i="3"/>
  <c r="J117" i="3"/>
  <c r="J120" i="3"/>
  <c r="J118" i="3"/>
  <c r="J111" i="3"/>
  <c r="K8" i="3"/>
  <c r="J107" i="3"/>
  <c r="AE119" i="4" s="1"/>
  <c r="K174" i="3"/>
  <c r="K104" i="3"/>
  <c r="L255" i="3"/>
  <c r="L256" i="3"/>
  <c r="M102" i="3"/>
  <c r="AH120" i="4" s="1"/>
  <c r="AH122" i="4" s="1"/>
  <c r="C42" i="1"/>
  <c r="P343" i="3"/>
  <c r="N105" i="3"/>
  <c r="M344" i="3"/>
  <c r="O532" i="3"/>
  <c r="O533" i="3"/>
  <c r="H772" i="3"/>
  <c r="F304" i="3"/>
  <c r="F164" i="3"/>
  <c r="H738" i="3"/>
  <c r="H142" i="3"/>
  <c r="O619" i="3"/>
  <c r="O103" i="3"/>
  <c r="AJ121" i="4" s="1"/>
  <c r="N320" i="3"/>
  <c r="I763" i="3"/>
  <c r="Z138" i="4"/>
  <c r="M196" i="3"/>
  <c r="N195" i="3"/>
  <c r="U582" i="3"/>
  <c r="U462" i="3"/>
  <c r="L102" i="3"/>
  <c r="AG120" i="4" s="1"/>
  <c r="M173" i="3"/>
  <c r="J795" i="3"/>
  <c r="I774" i="3"/>
  <c r="O503" i="3"/>
  <c r="O504" i="3"/>
  <c r="Q138" i="4"/>
  <c r="O645" i="3"/>
  <c r="M373" i="3"/>
  <c r="X303" i="3" l="1"/>
  <c r="P598" i="3"/>
  <c r="Q598" i="3"/>
  <c r="AE135" i="4"/>
  <c r="H21" i="1"/>
  <c r="H26" i="1" s="1"/>
  <c r="M32" i="3"/>
  <c r="L175" i="3"/>
  <c r="L176" i="3" s="1"/>
  <c r="J315" i="3"/>
  <c r="J308" i="3"/>
  <c r="AE111" i="4"/>
  <c r="AE66" i="4"/>
  <c r="AE137" i="4" s="1"/>
  <c r="AE67" i="4"/>
  <c r="AE68" i="4"/>
  <c r="AE65" i="4"/>
  <c r="AE61" i="4"/>
  <c r="AE64" i="4"/>
  <c r="AE63" i="4"/>
  <c r="AE94" i="4"/>
  <c r="AE17" i="5" s="1"/>
  <c r="AE62" i="4"/>
  <c r="P532" i="3"/>
  <c r="P533" i="3"/>
  <c r="N373" i="3"/>
  <c r="H140" i="3"/>
  <c r="P372" i="3"/>
  <c r="M255" i="3"/>
  <c r="M256" i="3"/>
  <c r="N102" i="3"/>
  <c r="AI120" i="4" s="1"/>
  <c r="AI122" i="4" s="1"/>
  <c r="O413" i="3"/>
  <c r="O412" i="3"/>
  <c r="M773" i="3"/>
  <c r="P503" i="3"/>
  <c r="P504" i="3"/>
  <c r="V582" i="3"/>
  <c r="V462" i="3"/>
  <c r="P619" i="3"/>
  <c r="P103" i="3"/>
  <c r="AK121" i="4" s="1"/>
  <c r="N173" i="3"/>
  <c r="H736" i="3"/>
  <c r="Q343" i="3"/>
  <c r="I784" i="3"/>
  <c r="H780" i="3"/>
  <c r="AB90" i="4"/>
  <c r="AB45" i="4"/>
  <c r="P645" i="3"/>
  <c r="Q645" i="3"/>
  <c r="O195" i="3"/>
  <c r="O320" i="3"/>
  <c r="AF110" i="4"/>
  <c r="K120" i="3"/>
  <c r="K109" i="3"/>
  <c r="K113" i="3"/>
  <c r="K107" i="3"/>
  <c r="AF119" i="4" s="1"/>
  <c r="I21" i="1" s="1"/>
  <c r="K118" i="3"/>
  <c r="K111" i="3"/>
  <c r="K117" i="3"/>
  <c r="L8" i="3"/>
  <c r="N223" i="3"/>
  <c r="N222" i="3"/>
  <c r="AE91" i="4"/>
  <c r="AA16" i="5"/>
  <c r="AA92" i="4"/>
  <c r="K302" i="3"/>
  <c r="K308" i="3" s="1"/>
  <c r="H93" i="2"/>
  <c r="H94" i="2" s="1"/>
  <c r="H96" i="2" s="1"/>
  <c r="K133" i="3" s="1"/>
  <c r="I92" i="2"/>
  <c r="L13" i="3"/>
  <c r="F463" i="3"/>
  <c r="F583" i="3"/>
  <c r="K795" i="3"/>
  <c r="J774" i="3"/>
  <c r="I772" i="3"/>
  <c r="O105" i="3"/>
  <c r="F731" i="3"/>
  <c r="F260" i="3"/>
  <c r="F262" i="3" s="1"/>
  <c r="F227" i="3"/>
  <c r="F229" i="3" s="1"/>
  <c r="F178" i="3"/>
  <c r="F180" i="3" s="1"/>
  <c r="F200" i="3"/>
  <c r="F202" i="3" s="1"/>
  <c r="F166" i="3"/>
  <c r="N344" i="3"/>
  <c r="AG122" i="4"/>
  <c r="N196" i="3"/>
  <c r="F732" i="3"/>
  <c r="F741" i="3" s="1"/>
  <c r="F417" i="3"/>
  <c r="F419" i="3" s="1"/>
  <c r="F420" i="3" s="1"/>
  <c r="F348" i="3"/>
  <c r="F350" i="3" s="1"/>
  <c r="F351" i="3" s="1"/>
  <c r="F324" i="3"/>
  <c r="F326" i="3" s="1"/>
  <c r="F327" i="3" s="1"/>
  <c r="F306" i="3"/>
  <c r="F377" i="3"/>
  <c r="F379" i="3" s="1"/>
  <c r="F380" i="3" s="1"/>
  <c r="F307" i="3"/>
  <c r="F309" i="3" s="1"/>
  <c r="F800" i="3" s="1"/>
  <c r="L174" i="3"/>
  <c r="L104" i="3"/>
  <c r="I738" i="3"/>
  <c r="I142" i="3"/>
  <c r="J763" i="3"/>
  <c r="P682" i="3"/>
  <c r="Q682" i="3"/>
  <c r="Y303" i="3" l="1"/>
  <c r="F296" i="3"/>
  <c r="F294" i="3"/>
  <c r="F292" i="3"/>
  <c r="F290" i="3"/>
  <c r="F288" i="3"/>
  <c r="F286" i="3"/>
  <c r="F284" i="3"/>
  <c r="F282" i="3"/>
  <c r="F280" i="3"/>
  <c r="F278" i="3"/>
  <c r="F276" i="3"/>
  <c r="F274" i="3"/>
  <c r="F272" i="3"/>
  <c r="F270" i="3"/>
  <c r="F268" i="3"/>
  <c r="F295" i="3"/>
  <c r="F291" i="3"/>
  <c r="F287" i="3"/>
  <c r="F283" i="3"/>
  <c r="F279" i="3"/>
  <c r="F275" i="3"/>
  <c r="F271" i="3"/>
  <c r="F267" i="3"/>
  <c r="G298" i="3" s="1"/>
  <c r="F293" i="3"/>
  <c r="F285" i="3"/>
  <c r="F277" i="3"/>
  <c r="F269" i="3"/>
  <c r="F289" i="3"/>
  <c r="F281" i="3"/>
  <c r="F273" i="3"/>
  <c r="K763" i="3"/>
  <c r="I26" i="1"/>
  <c r="AF111" i="4"/>
  <c r="AF94" i="4"/>
  <c r="AF17" i="5" s="1"/>
  <c r="AF66" i="4"/>
  <c r="AF137" i="4" s="1"/>
  <c r="AF64" i="4"/>
  <c r="AF61" i="4"/>
  <c r="AF62" i="4"/>
  <c r="AF67" i="4"/>
  <c r="AF68" i="4"/>
  <c r="AF65" i="4"/>
  <c r="AF63" i="4"/>
  <c r="AB16" i="5"/>
  <c r="AB92" i="4"/>
  <c r="W582" i="3"/>
  <c r="W462" i="3"/>
  <c r="N773" i="3"/>
  <c r="F361" i="3"/>
  <c r="F359" i="3"/>
  <c r="F357" i="3"/>
  <c r="G368" i="3" s="1"/>
  <c r="F358" i="3"/>
  <c r="F360" i="3"/>
  <c r="P412" i="3"/>
  <c r="P413" i="3"/>
  <c r="Q532" i="3"/>
  <c r="Q533" i="3"/>
  <c r="F389" i="3"/>
  <c r="F387" i="3"/>
  <c r="F388" i="3"/>
  <c r="F386" i="3"/>
  <c r="G407" i="3" s="1"/>
  <c r="F390" i="3"/>
  <c r="F337" i="3"/>
  <c r="F335" i="3"/>
  <c r="F333" i="3"/>
  <c r="G339" i="3" s="1"/>
  <c r="F328" i="3"/>
  <c r="F334" i="3"/>
  <c r="F336" i="3"/>
  <c r="K314" i="3"/>
  <c r="G312" i="3"/>
  <c r="G313" i="3" s="1"/>
  <c r="G134" i="3" s="1"/>
  <c r="F740" i="3"/>
  <c r="F730" i="3"/>
  <c r="P320" i="3"/>
  <c r="Q320" i="3"/>
  <c r="I140" i="3"/>
  <c r="M174" i="3"/>
  <c r="M104" i="3"/>
  <c r="O344" i="3"/>
  <c r="AG110" i="4"/>
  <c r="L111" i="3"/>
  <c r="L117" i="3"/>
  <c r="L113" i="3"/>
  <c r="L118" i="3"/>
  <c r="L120" i="3"/>
  <c r="M8" i="3"/>
  <c r="L109" i="3"/>
  <c r="L107" i="3"/>
  <c r="AG119" i="4" s="1"/>
  <c r="I736" i="3"/>
  <c r="F430" i="3"/>
  <c r="F428" i="3"/>
  <c r="F426" i="3"/>
  <c r="G457" i="3" s="1"/>
  <c r="F429" i="3"/>
  <c r="F427" i="3"/>
  <c r="L795" i="3"/>
  <c r="K774" i="3"/>
  <c r="O173" i="3"/>
  <c r="AC43" i="4"/>
  <c r="AF135" i="4"/>
  <c r="P195" i="3"/>
  <c r="J784" i="3"/>
  <c r="I780" i="3"/>
  <c r="J738" i="3"/>
  <c r="J142" i="3"/>
  <c r="O223" i="3"/>
  <c r="O222" i="3"/>
  <c r="P105" i="3"/>
  <c r="Q503" i="3"/>
  <c r="Q504" i="3"/>
  <c r="O373" i="3"/>
  <c r="J772" i="3"/>
  <c r="F744" i="3"/>
  <c r="F753" i="3" s="1"/>
  <c r="F649" i="3"/>
  <c r="F651" i="3" s="1"/>
  <c r="F652" i="3" s="1"/>
  <c r="F623" i="3"/>
  <c r="F625" i="3" s="1"/>
  <c r="F626" i="3" s="1"/>
  <c r="F602" i="3"/>
  <c r="F604" i="3" s="1"/>
  <c r="F605" i="3" s="1"/>
  <c r="F585" i="3"/>
  <c r="F588" i="3" s="1"/>
  <c r="F686" i="3"/>
  <c r="F688" i="3" s="1"/>
  <c r="F689" i="3" s="1"/>
  <c r="F586" i="3"/>
  <c r="O196" i="3"/>
  <c r="F216" i="3"/>
  <c r="F214" i="3"/>
  <c r="F212" i="3"/>
  <c r="F210" i="3"/>
  <c r="F208" i="3"/>
  <c r="F215" i="3"/>
  <c r="F211" i="3"/>
  <c r="F207" i="3"/>
  <c r="G218" i="3" s="1"/>
  <c r="F213" i="3"/>
  <c r="F209" i="3"/>
  <c r="F743" i="3"/>
  <c r="F752" i="3" s="1"/>
  <c r="F537" i="3"/>
  <c r="F539" i="3" s="1"/>
  <c r="F540" i="3" s="1"/>
  <c r="F508" i="3"/>
  <c r="F510" i="3" s="1"/>
  <c r="F511" i="3" s="1"/>
  <c r="F465" i="3"/>
  <c r="F468" i="3" s="1"/>
  <c r="F483" i="3"/>
  <c r="F485" i="3" s="1"/>
  <c r="F486" i="3" s="1"/>
  <c r="F466" i="3"/>
  <c r="F802" i="3"/>
  <c r="F796" i="3"/>
  <c r="F188" i="3"/>
  <c r="F186" i="3"/>
  <c r="F189" i="3"/>
  <c r="F185" i="3"/>
  <c r="G191" i="3" s="1"/>
  <c r="F187" i="3"/>
  <c r="J169" i="3"/>
  <c r="L302" i="3"/>
  <c r="L308" i="3" s="1"/>
  <c r="I93" i="2"/>
  <c r="I94" i="2" s="1"/>
  <c r="I96" i="2" s="1"/>
  <c r="L133" i="3" s="1"/>
  <c r="J92" i="2"/>
  <c r="M13" i="3"/>
  <c r="N255" i="3"/>
  <c r="O102" i="3"/>
  <c r="AJ120" i="4" s="1"/>
  <c r="N256" i="3"/>
  <c r="M175" i="3"/>
  <c r="M176" i="3" s="1"/>
  <c r="N32" i="3"/>
  <c r="F248" i="3"/>
  <c r="F246" i="3"/>
  <c r="F244" i="3"/>
  <c r="F242" i="3"/>
  <c r="F240" i="3"/>
  <c r="F238" i="3"/>
  <c r="F236" i="3"/>
  <c r="F234" i="3"/>
  <c r="G250" i="3" s="1"/>
  <c r="F247" i="3"/>
  <c r="F243" i="3"/>
  <c r="F239" i="3"/>
  <c r="F235" i="3"/>
  <c r="F245" i="3"/>
  <c r="F241" i="3"/>
  <c r="F237" i="3"/>
  <c r="Q372" i="3"/>
  <c r="Q619" i="3"/>
  <c r="Q103" i="3"/>
  <c r="AL121" i="4" s="1"/>
  <c r="F391" i="3" l="1"/>
  <c r="F431" i="3"/>
  <c r="F362" i="3"/>
  <c r="Z303" i="3"/>
  <c r="Q105" i="3"/>
  <c r="AG135" i="4"/>
  <c r="J21" i="1"/>
  <c r="J26" i="1" s="1"/>
  <c r="F789" i="3"/>
  <c r="F791" i="3" s="1"/>
  <c r="F182" i="3"/>
  <c r="F561" i="3"/>
  <c r="F559" i="3"/>
  <c r="F557" i="3"/>
  <c r="F555" i="3"/>
  <c r="F553" i="3"/>
  <c r="F551" i="3"/>
  <c r="F549" i="3"/>
  <c r="F547" i="3"/>
  <c r="F560" i="3"/>
  <c r="F556" i="3"/>
  <c r="F552" i="3"/>
  <c r="F548" i="3"/>
  <c r="F562" i="3"/>
  <c r="F558" i="3"/>
  <c r="F554" i="3"/>
  <c r="F550" i="3"/>
  <c r="F546" i="3"/>
  <c r="G577" i="3" s="1"/>
  <c r="J737" i="3"/>
  <c r="J141" i="3"/>
  <c r="F495" i="3"/>
  <c r="F493" i="3"/>
  <c r="F496" i="3"/>
  <c r="F492" i="3"/>
  <c r="G498" i="3" s="1"/>
  <c r="F494" i="3"/>
  <c r="F487" i="3"/>
  <c r="K473" i="3"/>
  <c r="F705" i="3"/>
  <c r="F708" i="3"/>
  <c r="F695" i="3"/>
  <c r="F698" i="3"/>
  <c r="F703" i="3"/>
  <c r="F700" i="3"/>
  <c r="F701" i="3"/>
  <c r="F699" i="3"/>
  <c r="F706" i="3"/>
  <c r="F696" i="3"/>
  <c r="F697" i="3"/>
  <c r="F702" i="3"/>
  <c r="F704" i="3"/>
  <c r="F709" i="3"/>
  <c r="F693" i="3"/>
  <c r="G724" i="3" s="1"/>
  <c r="F694" i="3"/>
  <c r="F707" i="3"/>
  <c r="P173" i="3"/>
  <c r="N174" i="3"/>
  <c r="N104" i="3"/>
  <c r="F739" i="3"/>
  <c r="AA40" i="4" s="1"/>
  <c r="F776" i="3"/>
  <c r="X582" i="3"/>
  <c r="F710" i="3" s="1"/>
  <c r="X462" i="3"/>
  <c r="F563" i="3" s="1"/>
  <c r="Q195" i="3"/>
  <c r="M795" i="3"/>
  <c r="L774" i="3"/>
  <c r="F231" i="3"/>
  <c r="G167" i="3"/>
  <c r="G757" i="3" s="1"/>
  <c r="F525" i="3"/>
  <c r="F523" i="3"/>
  <c r="F521" i="3"/>
  <c r="F519" i="3"/>
  <c r="F517" i="3"/>
  <c r="G528" i="3" s="1"/>
  <c r="F512" i="3"/>
  <c r="F524" i="3"/>
  <c r="F520" i="3"/>
  <c r="F526" i="3"/>
  <c r="F522" i="3"/>
  <c r="F518" i="3"/>
  <c r="F613" i="3"/>
  <c r="F611" i="3"/>
  <c r="F609" i="3"/>
  <c r="G615" i="3" s="1"/>
  <c r="F610" i="3"/>
  <c r="F612" i="3"/>
  <c r="F606" i="3"/>
  <c r="K593" i="3"/>
  <c r="K594" i="3" s="1"/>
  <c r="AC45" i="4"/>
  <c r="AC90" i="4"/>
  <c r="AH110" i="4"/>
  <c r="M113" i="3"/>
  <c r="M120" i="3"/>
  <c r="M118" i="3"/>
  <c r="N8" i="3"/>
  <c r="M117" i="3"/>
  <c r="M109" i="3"/>
  <c r="M111" i="3"/>
  <c r="M107" i="3"/>
  <c r="AH119" i="4" s="1"/>
  <c r="K21" i="1" s="1"/>
  <c r="G764" i="3"/>
  <c r="G765" i="3" s="1"/>
  <c r="AB35" i="4" s="1"/>
  <c r="G132" i="3"/>
  <c r="G310" i="3"/>
  <c r="G758" i="3" s="1"/>
  <c r="AD43" i="4"/>
  <c r="M302" i="3"/>
  <c r="K92" i="2"/>
  <c r="N13" i="3"/>
  <c r="J93" i="2"/>
  <c r="J94" i="2" s="1"/>
  <c r="J96" i="2" s="1"/>
  <c r="M133" i="3" s="1"/>
  <c r="F671" i="3"/>
  <c r="F669" i="3"/>
  <c r="F672" i="3"/>
  <c r="F670" i="3"/>
  <c r="F667" i="3"/>
  <c r="F665" i="3"/>
  <c r="F663" i="3"/>
  <c r="F661" i="3"/>
  <c r="F659" i="3"/>
  <c r="F657" i="3"/>
  <c r="F668" i="3"/>
  <c r="F664" i="3"/>
  <c r="F660" i="3"/>
  <c r="F656" i="3"/>
  <c r="G677" i="3" s="1"/>
  <c r="F666" i="3"/>
  <c r="F662" i="3"/>
  <c r="F658" i="3"/>
  <c r="P373" i="3"/>
  <c r="Q373" i="3"/>
  <c r="F330" i="3"/>
  <c r="AJ122" i="4"/>
  <c r="AG111" i="4"/>
  <c r="AG68" i="4"/>
  <c r="AG62" i="4"/>
  <c r="AG64" i="4"/>
  <c r="AG63" i="4"/>
  <c r="AG65" i="4"/>
  <c r="AG67" i="4"/>
  <c r="AG61" i="4"/>
  <c r="AG66" i="4"/>
  <c r="AG137" i="4" s="1"/>
  <c r="AG94" i="4"/>
  <c r="AG17" i="5" s="1"/>
  <c r="K801" i="3"/>
  <c r="K315" i="3"/>
  <c r="F264" i="3"/>
  <c r="Q412" i="3"/>
  <c r="Q413" i="3"/>
  <c r="N175" i="3"/>
  <c r="N176" i="3" s="1"/>
  <c r="O32" i="3"/>
  <c r="F639" i="3"/>
  <c r="F637" i="3"/>
  <c r="F635" i="3"/>
  <c r="F633" i="3"/>
  <c r="F631" i="3"/>
  <c r="F627" i="3"/>
  <c r="F638" i="3"/>
  <c r="F634" i="3"/>
  <c r="F630" i="3"/>
  <c r="G641" i="3" s="1"/>
  <c r="F636" i="3"/>
  <c r="F632" i="3"/>
  <c r="L763" i="3"/>
  <c r="F204" i="3"/>
  <c r="P222" i="3"/>
  <c r="P223" i="3"/>
  <c r="J780" i="3"/>
  <c r="K784" i="3"/>
  <c r="P344" i="3"/>
  <c r="Q344" i="3"/>
  <c r="O255" i="3"/>
  <c r="O256" i="3"/>
  <c r="F777" i="3"/>
  <c r="F798" i="3"/>
  <c r="P196" i="3"/>
  <c r="Q196" i="3"/>
  <c r="K772" i="3"/>
  <c r="O773" i="3"/>
  <c r="F785" i="3" l="1"/>
  <c r="F673" i="3"/>
  <c r="AA303" i="3"/>
  <c r="G470" i="3"/>
  <c r="G471" i="3" s="1"/>
  <c r="F170" i="3"/>
  <c r="F760" i="3" s="1"/>
  <c r="F514" i="3"/>
  <c r="F775" i="3"/>
  <c r="F779" i="3" s="1"/>
  <c r="AA12" i="4" s="1"/>
  <c r="AA59" i="4" s="1"/>
  <c r="AB82" i="4"/>
  <c r="P773" i="3"/>
  <c r="K738" i="3"/>
  <c r="K142" i="3"/>
  <c r="K750" i="3"/>
  <c r="K147" i="3"/>
  <c r="M774" i="3"/>
  <c r="N795" i="3"/>
  <c r="AA87" i="4"/>
  <c r="AA89" i="4" s="1"/>
  <c r="AA42" i="4"/>
  <c r="P255" i="3"/>
  <c r="P256" i="3"/>
  <c r="G756" i="3"/>
  <c r="G131" i="3"/>
  <c r="O174" i="3"/>
  <c r="O104" i="3"/>
  <c r="M308" i="3"/>
  <c r="F432" i="3"/>
  <c r="F392" i="3"/>
  <c r="F363" i="3"/>
  <c r="Q173" i="3"/>
  <c r="F489" i="3"/>
  <c r="G590" i="3"/>
  <c r="AH111" i="4"/>
  <c r="AH62" i="4"/>
  <c r="AH68" i="4"/>
  <c r="AH63" i="4"/>
  <c r="AH67" i="4"/>
  <c r="AH61" i="4"/>
  <c r="AH65" i="4"/>
  <c r="AH64" i="4"/>
  <c r="AH66" i="4"/>
  <c r="AH137" i="4" s="1"/>
  <c r="AH94" i="4"/>
  <c r="AH17" i="5" s="1"/>
  <c r="P102" i="3"/>
  <c r="AK120" i="4" s="1"/>
  <c r="AK122" i="4" s="1"/>
  <c r="AI110" i="4"/>
  <c r="N118" i="3"/>
  <c r="N113" i="3"/>
  <c r="N107" i="3"/>
  <c r="AI119" i="4" s="1"/>
  <c r="N111" i="3"/>
  <c r="N120" i="3"/>
  <c r="O8" i="3"/>
  <c r="N117" i="3"/>
  <c r="N109" i="3"/>
  <c r="O175" i="3"/>
  <c r="O176" i="3" s="1"/>
  <c r="P32" i="3"/>
  <c r="M763" i="3"/>
  <c r="AH135" i="4"/>
  <c r="AC16" i="5"/>
  <c r="AC92" i="4"/>
  <c r="L772" i="3"/>
  <c r="F781" i="3"/>
  <c r="F782" i="3" s="1"/>
  <c r="AA13" i="4" s="1"/>
  <c r="F787" i="3"/>
  <c r="J140" i="3"/>
  <c r="Y582" i="3"/>
  <c r="Y462" i="3"/>
  <c r="F564" i="3" s="1"/>
  <c r="Q222" i="3"/>
  <c r="Q223" i="3"/>
  <c r="K26" i="1"/>
  <c r="K780" i="3"/>
  <c r="L784" i="3"/>
  <c r="L92" i="2"/>
  <c r="N302" i="3"/>
  <c r="O13" i="3"/>
  <c r="K93" i="2"/>
  <c r="K94" i="2" s="1"/>
  <c r="K96" i="2" s="1"/>
  <c r="N133" i="3" s="1"/>
  <c r="AD45" i="4"/>
  <c r="AD90" i="4"/>
  <c r="K790" i="3"/>
  <c r="K474" i="3"/>
  <c r="J736" i="3"/>
  <c r="G768" i="3" l="1"/>
  <c r="AB303" i="3"/>
  <c r="AI135" i="4"/>
  <c r="L21" i="1"/>
  <c r="L26" i="1" s="1"/>
  <c r="AA8" i="4"/>
  <c r="AA25" i="4" s="1"/>
  <c r="AA9" i="4"/>
  <c r="AA56" i="4" s="1"/>
  <c r="AA60" i="4"/>
  <c r="AA10" i="4"/>
  <c r="AI111" i="4"/>
  <c r="AI63" i="4"/>
  <c r="AI65" i="4"/>
  <c r="AI64" i="4"/>
  <c r="AI94" i="4"/>
  <c r="AI17" i="5" s="1"/>
  <c r="AI68" i="4"/>
  <c r="AI61" i="4"/>
  <c r="AI62" i="4"/>
  <c r="AI67" i="4"/>
  <c r="AI66" i="4"/>
  <c r="AI137" i="4" s="1"/>
  <c r="O302" i="3"/>
  <c r="P13" i="3"/>
  <c r="L93" i="2"/>
  <c r="L94" i="2" s="1"/>
  <c r="L96" i="2" s="1"/>
  <c r="O133" i="3" s="1"/>
  <c r="M92" i="2"/>
  <c r="N308" i="3"/>
  <c r="F393" i="3"/>
  <c r="F433" i="3"/>
  <c r="F364" i="3"/>
  <c r="Z582" i="3"/>
  <c r="Z462" i="3"/>
  <c r="F565" i="3" s="1"/>
  <c r="P174" i="3"/>
  <c r="P104" i="3"/>
  <c r="Q255" i="3"/>
  <c r="Q256" i="3"/>
  <c r="P175" i="3"/>
  <c r="P176" i="3" s="1"/>
  <c r="Q32" i="3"/>
  <c r="Q175" i="3" s="1"/>
  <c r="Q176" i="3" s="1"/>
  <c r="G129" i="3"/>
  <c r="N774" i="3"/>
  <c r="O795" i="3"/>
  <c r="Q773" i="3"/>
  <c r="K749" i="3"/>
  <c r="K146" i="3"/>
  <c r="G769" i="3"/>
  <c r="G591" i="3"/>
  <c r="F711" i="3"/>
  <c r="F674" i="3"/>
  <c r="AA11" i="4"/>
  <c r="M772" i="3"/>
  <c r="AD16" i="5"/>
  <c r="AD92" i="4"/>
  <c r="AE43" i="4"/>
  <c r="AJ110" i="4"/>
  <c r="O117" i="3"/>
  <c r="O109" i="3"/>
  <c r="O118" i="3"/>
  <c r="O111" i="3"/>
  <c r="P8" i="3"/>
  <c r="O120" i="3"/>
  <c r="O113" i="3"/>
  <c r="O107" i="3"/>
  <c r="AJ119" i="4" s="1"/>
  <c r="M21" i="1" s="1"/>
  <c r="G128" i="3"/>
  <c r="L780" i="3"/>
  <c r="M784" i="3"/>
  <c r="N763" i="3"/>
  <c r="Q102" i="3"/>
  <c r="AL120" i="4" s="1"/>
  <c r="AC303" i="3" l="1"/>
  <c r="AA55" i="4"/>
  <c r="AA7" i="5" s="1"/>
  <c r="AA24" i="4"/>
  <c r="AA72" i="4" s="1"/>
  <c r="AA7" i="4"/>
  <c r="AA54" i="4" s="1"/>
  <c r="AA6" i="4"/>
  <c r="AA53" i="4" s="1"/>
  <c r="AA6" i="5" s="1"/>
  <c r="M780" i="3"/>
  <c r="N784" i="3"/>
  <c r="AK110" i="4"/>
  <c r="P120" i="3"/>
  <c r="P118" i="3"/>
  <c r="P111" i="3"/>
  <c r="Q8" i="3"/>
  <c r="P113" i="3"/>
  <c r="P117" i="3"/>
  <c r="P109" i="3"/>
  <c r="P107" i="3"/>
  <c r="AK119" i="4" s="1"/>
  <c r="AE90" i="4"/>
  <c r="AE45" i="4"/>
  <c r="O774" i="3"/>
  <c r="P795" i="3"/>
  <c r="AA71" i="4"/>
  <c r="AA11" i="5" s="1"/>
  <c r="O763" i="3"/>
  <c r="N772" i="3"/>
  <c r="AA462" i="3"/>
  <c r="F566" i="3" s="1"/>
  <c r="AA582" i="3"/>
  <c r="F713" i="3" s="1"/>
  <c r="G767" i="3"/>
  <c r="G770" i="3" s="1"/>
  <c r="AB36" i="4" s="1"/>
  <c r="G126" i="3"/>
  <c r="P302" i="3"/>
  <c r="Q13" i="3"/>
  <c r="M93" i="2"/>
  <c r="M94" i="2" s="1"/>
  <c r="M96" i="2" s="1"/>
  <c r="P133" i="3" s="1"/>
  <c r="N92" i="2"/>
  <c r="F395" i="3"/>
  <c r="F435" i="3"/>
  <c r="AL122" i="4"/>
  <c r="M26" i="1"/>
  <c r="AJ111" i="4"/>
  <c r="AJ63" i="4"/>
  <c r="AJ62" i="4"/>
  <c r="AJ68" i="4"/>
  <c r="AJ64" i="4"/>
  <c r="AJ65" i="4"/>
  <c r="AJ61" i="4"/>
  <c r="AJ94" i="4"/>
  <c r="AJ17" i="5" s="1"/>
  <c r="AJ67" i="4"/>
  <c r="AJ66" i="4"/>
  <c r="AJ137" i="4" s="1"/>
  <c r="F675" i="3"/>
  <c r="F712" i="3"/>
  <c r="F653" i="3"/>
  <c r="O308" i="3"/>
  <c r="F365" i="3"/>
  <c r="F394" i="3"/>
  <c r="F434" i="3"/>
  <c r="AA57" i="4"/>
  <c r="AA8" i="5" s="1"/>
  <c r="AA26" i="4"/>
  <c r="AA22" i="4" s="1"/>
  <c r="AJ135" i="4"/>
  <c r="AA58" i="4"/>
  <c r="Q174" i="3"/>
  <c r="Q104" i="3"/>
  <c r="K145" i="3"/>
  <c r="AD303" i="3" l="1"/>
  <c r="AK135" i="4"/>
  <c r="N21" i="1"/>
  <c r="N26" i="1" s="1"/>
  <c r="AA69" i="4"/>
  <c r="D12" i="1"/>
  <c r="AA23" i="4"/>
  <c r="AA70" i="4" s="1"/>
  <c r="AE16" i="5"/>
  <c r="AE92" i="4"/>
  <c r="AB462" i="3"/>
  <c r="F567" i="3" s="1"/>
  <c r="AB582" i="3"/>
  <c r="F714" i="3" s="1"/>
  <c r="P763" i="3"/>
  <c r="Q302" i="3"/>
  <c r="Q308" i="3" s="1"/>
  <c r="R13" i="3"/>
  <c r="N93" i="2"/>
  <c r="N94" i="2" s="1"/>
  <c r="N96" i="2" s="1"/>
  <c r="Q133" i="3" s="1"/>
  <c r="F396" i="3"/>
  <c r="F436" i="3"/>
  <c r="AK111" i="4"/>
  <c r="AK61" i="4"/>
  <c r="AK68" i="4"/>
  <c r="AK63" i="4"/>
  <c r="AK66" i="4"/>
  <c r="AK137" i="4" s="1"/>
  <c r="AK67" i="4"/>
  <c r="AK65" i="4"/>
  <c r="AK64" i="4"/>
  <c r="AK94" i="4"/>
  <c r="AK17" i="5" s="1"/>
  <c r="AK62" i="4"/>
  <c r="AF44" i="4"/>
  <c r="AF91" i="4" s="1"/>
  <c r="K748" i="3"/>
  <c r="P308" i="3"/>
  <c r="F352" i="3"/>
  <c r="F366" i="3"/>
  <c r="G125" i="3"/>
  <c r="Q795" i="3"/>
  <c r="P774" i="3"/>
  <c r="O784" i="3"/>
  <c r="N780" i="3"/>
  <c r="AA73" i="4"/>
  <c r="AB125" i="4"/>
  <c r="AB83" i="4"/>
  <c r="G792" i="3"/>
  <c r="O772" i="3"/>
  <c r="AL110" i="4"/>
  <c r="Q118" i="3"/>
  <c r="Q111" i="3"/>
  <c r="Q117" i="3"/>
  <c r="Q109" i="3"/>
  <c r="Q120" i="3"/>
  <c r="Q107" i="3"/>
  <c r="AL119" i="4" s="1"/>
  <c r="O21" i="1" s="1"/>
  <c r="O26" i="1" s="1"/>
  <c r="Q113" i="3"/>
  <c r="AE303" i="3" l="1"/>
  <c r="F354" i="3"/>
  <c r="AA12" i="5"/>
  <c r="AA118" i="4"/>
  <c r="Q774" i="3"/>
  <c r="AL135" i="4"/>
  <c r="AL111" i="4"/>
  <c r="AL61" i="4"/>
  <c r="AL68" i="4"/>
  <c r="AL65" i="4"/>
  <c r="AL64" i="4"/>
  <c r="AL63" i="4"/>
  <c r="AL67" i="4"/>
  <c r="AL66" i="4"/>
  <c r="AL137" i="4" s="1"/>
  <c r="AL94" i="4"/>
  <c r="AL17" i="5" s="1"/>
  <c r="AL62" i="4"/>
  <c r="Q763" i="3"/>
  <c r="P772" i="3"/>
  <c r="AC582" i="3"/>
  <c r="F715" i="3" s="1"/>
  <c r="AC462" i="3"/>
  <c r="F568" i="3" s="1"/>
  <c r="P784" i="3"/>
  <c r="O780" i="3"/>
  <c r="G135" i="3"/>
  <c r="R302" i="3"/>
  <c r="S13" i="3"/>
  <c r="F397" i="3"/>
  <c r="F437" i="3"/>
  <c r="AA130" i="4"/>
  <c r="AA10" i="5"/>
  <c r="D13" i="1" s="1"/>
  <c r="E30" i="1" s="1"/>
  <c r="AA143" i="4"/>
  <c r="AB133" i="4"/>
  <c r="AF303" i="3" l="1"/>
  <c r="S302" i="3"/>
  <c r="T13" i="3"/>
  <c r="F438" i="3"/>
  <c r="F398" i="3"/>
  <c r="G137" i="3"/>
  <c r="AD582" i="3"/>
  <c r="F716" i="3" s="1"/>
  <c r="AD462" i="3"/>
  <c r="F569" i="3" s="1"/>
  <c r="Q772" i="3"/>
  <c r="Q784" i="3"/>
  <c r="P780" i="3"/>
  <c r="AG303" i="3" l="1"/>
  <c r="AE582" i="3"/>
  <c r="F717" i="3" s="1"/>
  <c r="AE462" i="3"/>
  <c r="F570" i="3" s="1"/>
  <c r="Q780" i="3"/>
  <c r="T302" i="3"/>
  <c r="U13" i="3"/>
  <c r="F439" i="3"/>
  <c r="F399" i="3"/>
  <c r="G144" i="3"/>
  <c r="G139" i="3"/>
  <c r="G160" i="3"/>
  <c r="AH303" i="3" l="1"/>
  <c r="U302" i="3"/>
  <c r="V13" i="3"/>
  <c r="F440" i="3"/>
  <c r="F400" i="3"/>
  <c r="G138" i="3"/>
  <c r="G742" i="3"/>
  <c r="G751" i="3" s="1"/>
  <c r="AB41" i="4" s="1"/>
  <c r="AB88" i="4" s="1"/>
  <c r="G143" i="3"/>
  <c r="AF582" i="3"/>
  <c r="F718" i="3" s="1"/>
  <c r="AF462" i="3"/>
  <c r="F571" i="3" s="1"/>
  <c r="AI303" i="3" l="1"/>
  <c r="AG582" i="3"/>
  <c r="F719" i="3" s="1"/>
  <c r="AG462" i="3"/>
  <c r="F572" i="3" s="1"/>
  <c r="G304" i="3"/>
  <c r="G164" i="3"/>
  <c r="G583" i="3"/>
  <c r="G463" i="3"/>
  <c r="V302" i="3"/>
  <c r="W13" i="3"/>
  <c r="F441" i="3"/>
  <c r="F401" i="3"/>
  <c r="AJ303" i="3" l="1"/>
  <c r="AH582" i="3"/>
  <c r="F720" i="3" s="1"/>
  <c r="AH462" i="3"/>
  <c r="F573" i="3" s="1"/>
  <c r="G732" i="3"/>
  <c r="G741" i="3" s="1"/>
  <c r="G417" i="3"/>
  <c r="G419" i="3" s="1"/>
  <c r="G420" i="3" s="1"/>
  <c r="G348" i="3"/>
  <c r="G350" i="3" s="1"/>
  <c r="G351" i="3" s="1"/>
  <c r="G324" i="3"/>
  <c r="G326" i="3" s="1"/>
  <c r="G327" i="3" s="1"/>
  <c r="G306" i="3"/>
  <c r="G307" i="3"/>
  <c r="G309" i="3" s="1"/>
  <c r="G800" i="3" s="1"/>
  <c r="G377" i="3"/>
  <c r="G379" i="3" s="1"/>
  <c r="G380" i="3" s="1"/>
  <c r="G743" i="3"/>
  <c r="G752" i="3" s="1"/>
  <c r="G537" i="3"/>
  <c r="G539" i="3" s="1"/>
  <c r="G540" i="3" s="1"/>
  <c r="G483" i="3"/>
  <c r="G485" i="3" s="1"/>
  <c r="G486" i="3" s="1"/>
  <c r="G508" i="3"/>
  <c r="G510" i="3" s="1"/>
  <c r="G511" i="3" s="1"/>
  <c r="G465" i="3"/>
  <c r="G468" i="3" s="1"/>
  <c r="G466" i="3"/>
  <c r="G731" i="3"/>
  <c r="G227" i="3"/>
  <c r="G229" i="3" s="1"/>
  <c r="G200" i="3"/>
  <c r="G202" i="3" s="1"/>
  <c r="G166" i="3"/>
  <c r="G260" i="3"/>
  <c r="G262" i="3" s="1"/>
  <c r="G178" i="3"/>
  <c r="G180" i="3" s="1"/>
  <c r="W302" i="3"/>
  <c r="X13" i="3"/>
  <c r="F442" i="3"/>
  <c r="F402" i="3"/>
  <c r="G744" i="3"/>
  <c r="G753" i="3" s="1"/>
  <c r="G602" i="3"/>
  <c r="G604" i="3" s="1"/>
  <c r="G605" i="3" s="1"/>
  <c r="G649" i="3"/>
  <c r="G651" i="3" s="1"/>
  <c r="G652" i="3" s="1"/>
  <c r="G623" i="3"/>
  <c r="G625" i="3" s="1"/>
  <c r="G626" i="3" s="1"/>
  <c r="G585" i="3"/>
  <c r="G588" i="3" s="1"/>
  <c r="G686" i="3"/>
  <c r="G688" i="3" s="1"/>
  <c r="G689" i="3" s="1"/>
  <c r="G586" i="3"/>
  <c r="AK303" i="3" l="1"/>
  <c r="G789" i="3"/>
  <c r="G785" i="3" s="1"/>
  <c r="X302" i="3"/>
  <c r="Y13" i="3"/>
  <c r="G403" i="3" s="1"/>
  <c r="F403" i="3"/>
  <c r="F443" i="3"/>
  <c r="G526" i="3"/>
  <c r="G524" i="3"/>
  <c r="G522" i="3"/>
  <c r="G520" i="3"/>
  <c r="G518" i="3"/>
  <c r="G525" i="3"/>
  <c r="G521" i="3"/>
  <c r="G517" i="3"/>
  <c r="H528" i="3" s="1"/>
  <c r="G523" i="3"/>
  <c r="G519" i="3"/>
  <c r="G512" i="3"/>
  <c r="G296" i="3"/>
  <c r="G294" i="3"/>
  <c r="G292" i="3"/>
  <c r="G290" i="3"/>
  <c r="G288" i="3"/>
  <c r="G286" i="3"/>
  <c r="G284" i="3"/>
  <c r="G282" i="3"/>
  <c r="G280" i="3"/>
  <c r="G278" i="3"/>
  <c r="G276" i="3"/>
  <c r="G274" i="3"/>
  <c r="G272" i="3"/>
  <c r="G270" i="3"/>
  <c r="G268" i="3"/>
  <c r="G293" i="3"/>
  <c r="G289" i="3"/>
  <c r="G285" i="3"/>
  <c r="G281" i="3"/>
  <c r="G277" i="3"/>
  <c r="G273" i="3"/>
  <c r="G269" i="3"/>
  <c r="G291" i="3"/>
  <c r="G283" i="3"/>
  <c r="G275" i="3"/>
  <c r="G267" i="3"/>
  <c r="H298" i="3" s="1"/>
  <c r="G295" i="3"/>
  <c r="G287" i="3"/>
  <c r="G279" i="3"/>
  <c r="G271" i="3"/>
  <c r="G675" i="3"/>
  <c r="G673" i="3"/>
  <c r="G671" i="3"/>
  <c r="G674" i="3"/>
  <c r="G668" i="3"/>
  <c r="G666" i="3"/>
  <c r="G664" i="3"/>
  <c r="G662" i="3"/>
  <c r="G660" i="3"/>
  <c r="G658" i="3"/>
  <c r="G656" i="3"/>
  <c r="H677" i="3" s="1"/>
  <c r="G672" i="3"/>
  <c r="G669" i="3"/>
  <c r="G670" i="3"/>
  <c r="G667" i="3"/>
  <c r="G663" i="3"/>
  <c r="G659" i="3"/>
  <c r="G653" i="3"/>
  <c r="G665" i="3"/>
  <c r="G657" i="3"/>
  <c r="G661" i="3"/>
  <c r="G188" i="3"/>
  <c r="G186" i="3"/>
  <c r="G187" i="3"/>
  <c r="G185" i="3"/>
  <c r="H191" i="3" s="1"/>
  <c r="G189" i="3"/>
  <c r="K169" i="3"/>
  <c r="G442" i="3"/>
  <c r="G440" i="3"/>
  <c r="G438" i="3"/>
  <c r="G436" i="3"/>
  <c r="G434" i="3"/>
  <c r="G432" i="3"/>
  <c r="G430" i="3"/>
  <c r="G428" i="3"/>
  <c r="G426" i="3"/>
  <c r="H457" i="3" s="1"/>
  <c r="G439" i="3"/>
  <c r="G435" i="3"/>
  <c r="G431" i="3"/>
  <c r="G427" i="3"/>
  <c r="G441" i="3"/>
  <c r="G433" i="3"/>
  <c r="G437" i="3"/>
  <c r="G429" i="3"/>
  <c r="G571" i="3"/>
  <c r="G569" i="3"/>
  <c r="G567" i="3"/>
  <c r="G565" i="3"/>
  <c r="G563" i="3"/>
  <c r="G561" i="3"/>
  <c r="G559" i="3"/>
  <c r="G557" i="3"/>
  <c r="G555" i="3"/>
  <c r="G553" i="3"/>
  <c r="G551" i="3"/>
  <c r="G549" i="3"/>
  <c r="G547" i="3"/>
  <c r="G572" i="3"/>
  <c r="G568" i="3"/>
  <c r="G564" i="3"/>
  <c r="G560" i="3"/>
  <c r="G556" i="3"/>
  <c r="G552" i="3"/>
  <c r="G548" i="3"/>
  <c r="G570" i="3"/>
  <c r="G566" i="3"/>
  <c r="G562" i="3"/>
  <c r="G558" i="3"/>
  <c r="G554" i="3"/>
  <c r="G550" i="3"/>
  <c r="G546" i="3"/>
  <c r="H577" i="3" s="1"/>
  <c r="G705" i="3"/>
  <c r="G718" i="3"/>
  <c r="G708" i="3"/>
  <c r="G719" i="3"/>
  <c r="G703" i="3"/>
  <c r="G714" i="3"/>
  <c r="G700" i="3"/>
  <c r="G717" i="3"/>
  <c r="G701" i="3"/>
  <c r="G710" i="3"/>
  <c r="G712" i="3"/>
  <c r="G715" i="3"/>
  <c r="G699" i="3"/>
  <c r="G706" i="3"/>
  <c r="G696" i="3"/>
  <c r="G713" i="3"/>
  <c r="G697" i="3"/>
  <c r="G702" i="3"/>
  <c r="G704" i="3"/>
  <c r="G711" i="3"/>
  <c r="G695" i="3"/>
  <c r="G698" i="3"/>
  <c r="G709" i="3"/>
  <c r="G693" i="3"/>
  <c r="H724" i="3" s="1"/>
  <c r="G694" i="3"/>
  <c r="G707" i="3"/>
  <c r="G716" i="3"/>
  <c r="G248" i="3"/>
  <c r="G246" i="3"/>
  <c r="G244" i="3"/>
  <c r="G242" i="3"/>
  <c r="G240" i="3"/>
  <c r="G238" i="3"/>
  <c r="G236" i="3"/>
  <c r="G234" i="3"/>
  <c r="H250" i="3" s="1"/>
  <c r="G247" i="3"/>
  <c r="G243" i="3"/>
  <c r="G239" i="3"/>
  <c r="G235" i="3"/>
  <c r="G245" i="3"/>
  <c r="G241" i="3"/>
  <c r="G237" i="3"/>
  <c r="G401" i="3"/>
  <c r="G399" i="3"/>
  <c r="G397" i="3"/>
  <c r="G395" i="3"/>
  <c r="G393" i="3"/>
  <c r="G391" i="3"/>
  <c r="G389" i="3"/>
  <c r="G387" i="3"/>
  <c r="G402" i="3"/>
  <c r="G398" i="3"/>
  <c r="G394" i="3"/>
  <c r="G390" i="3"/>
  <c r="G386" i="3"/>
  <c r="H407" i="3" s="1"/>
  <c r="G400" i="3"/>
  <c r="G392" i="3"/>
  <c r="G396" i="3"/>
  <c r="G388" i="3"/>
  <c r="AI462" i="3"/>
  <c r="F574" i="3" s="1"/>
  <c r="AI582" i="3"/>
  <c r="F721" i="3" s="1"/>
  <c r="G638" i="3"/>
  <c r="G636" i="3"/>
  <c r="G634" i="3"/>
  <c r="G632" i="3"/>
  <c r="G630" i="3"/>
  <c r="H641" i="3" s="1"/>
  <c r="G637" i="3"/>
  <c r="G627" i="3"/>
  <c r="G639" i="3"/>
  <c r="G631" i="3"/>
  <c r="G635" i="3"/>
  <c r="G633" i="3"/>
  <c r="G337" i="3"/>
  <c r="G335" i="3"/>
  <c r="G333" i="3"/>
  <c r="H339" i="3" s="1"/>
  <c r="G328" i="3"/>
  <c r="G334" i="3"/>
  <c r="G336" i="3"/>
  <c r="L314" i="3"/>
  <c r="H312" i="3"/>
  <c r="H313" i="3" s="1"/>
  <c r="H134" i="3" s="1"/>
  <c r="G612" i="3"/>
  <c r="G610" i="3"/>
  <c r="G606" i="3"/>
  <c r="G613" i="3"/>
  <c r="G609" i="3"/>
  <c r="H615" i="3" s="1"/>
  <c r="G611" i="3"/>
  <c r="L593" i="3"/>
  <c r="L594" i="3" s="1"/>
  <c r="G365" i="3"/>
  <c r="G363" i="3"/>
  <c r="G361" i="3"/>
  <c r="G359" i="3"/>
  <c r="G357" i="3"/>
  <c r="H368" i="3" s="1"/>
  <c r="G352" i="3"/>
  <c r="G366" i="3"/>
  <c r="G362" i="3"/>
  <c r="G358" i="3"/>
  <c r="G360" i="3"/>
  <c r="G364" i="3"/>
  <c r="G496" i="3"/>
  <c r="G494" i="3"/>
  <c r="G492" i="3"/>
  <c r="H498" i="3" s="1"/>
  <c r="G495" i="3"/>
  <c r="G493" i="3"/>
  <c r="L473" i="3"/>
  <c r="G487" i="3"/>
  <c r="G216" i="3"/>
  <c r="G214" i="3"/>
  <c r="G212" i="3"/>
  <c r="G210" i="3"/>
  <c r="G208" i="3"/>
  <c r="G215" i="3"/>
  <c r="G211" i="3"/>
  <c r="G207" i="3"/>
  <c r="H218" i="3" s="1"/>
  <c r="G209" i="3"/>
  <c r="G213" i="3"/>
  <c r="G730" i="3"/>
  <c r="G740" i="3"/>
  <c r="G802" i="3"/>
  <c r="G796" i="3"/>
  <c r="G443" i="3" l="1"/>
  <c r="G791" i="3"/>
  <c r="AL303" i="3"/>
  <c r="G514" i="3"/>
  <c r="H590" i="3"/>
  <c r="H769" i="3" s="1"/>
  <c r="AJ462" i="3"/>
  <c r="AJ582" i="3"/>
  <c r="G739" i="3"/>
  <c r="AB40" i="4" s="1"/>
  <c r="G776" i="3"/>
  <c r="H310" i="3"/>
  <c r="H758" i="3" s="1"/>
  <c r="G489" i="3"/>
  <c r="G231" i="3"/>
  <c r="H167" i="3"/>
  <c r="H757" i="3" s="1"/>
  <c r="H764" i="3"/>
  <c r="H132" i="3"/>
  <c r="G354" i="3"/>
  <c r="G573" i="3"/>
  <c r="G777" i="3"/>
  <c r="G798" i="3"/>
  <c r="L790" i="3"/>
  <c r="L474" i="3"/>
  <c r="L750" i="3"/>
  <c r="L147" i="3"/>
  <c r="G330" i="3"/>
  <c r="K737" i="3"/>
  <c r="K141" i="3"/>
  <c r="G264" i="3"/>
  <c r="Y302" i="3"/>
  <c r="Z13" i="3"/>
  <c r="F444" i="3"/>
  <c r="F404" i="3"/>
  <c r="G781" i="3"/>
  <c r="G782" i="3" s="1"/>
  <c r="AB13" i="4" s="1"/>
  <c r="G787" i="3"/>
  <c r="H470" i="3"/>
  <c r="G204" i="3"/>
  <c r="L801" i="3"/>
  <c r="L315" i="3"/>
  <c r="G720" i="3"/>
  <c r="G182" i="3"/>
  <c r="AM303" i="3" l="1"/>
  <c r="H591" i="3"/>
  <c r="H765" i="3"/>
  <c r="H768" i="3"/>
  <c r="H471" i="3"/>
  <c r="H128" i="3"/>
  <c r="L749" i="3"/>
  <c r="L146" i="3"/>
  <c r="H131" i="3"/>
  <c r="AB60" i="4"/>
  <c r="AB10" i="4"/>
  <c r="AK462" i="3"/>
  <c r="AK582" i="3"/>
  <c r="G170" i="3"/>
  <c r="G760" i="3" s="1"/>
  <c r="L738" i="3"/>
  <c r="L142" i="3"/>
  <c r="F690" i="3"/>
  <c r="F722" i="3"/>
  <c r="G721" i="3"/>
  <c r="K140" i="3"/>
  <c r="K736" i="3"/>
  <c r="AB42" i="4"/>
  <c r="AB87" i="4"/>
  <c r="AB89" i="4" s="1"/>
  <c r="Z302" i="3"/>
  <c r="F381" i="3" s="1"/>
  <c r="AA13" i="3"/>
  <c r="F405" i="3"/>
  <c r="F445" i="3"/>
  <c r="G404" i="3"/>
  <c r="G444" i="3"/>
  <c r="G775" i="3"/>
  <c r="G779" i="3" s="1"/>
  <c r="AB12" i="4" s="1"/>
  <c r="F541" i="3"/>
  <c r="F575" i="3"/>
  <c r="G574" i="3"/>
  <c r="AN303" i="3" l="1"/>
  <c r="G690" i="3"/>
  <c r="G722" i="3"/>
  <c r="H767" i="3"/>
  <c r="H126" i="3"/>
  <c r="F543" i="3"/>
  <c r="F475" i="3" s="1"/>
  <c r="AL582" i="3"/>
  <c r="AL462" i="3"/>
  <c r="H756" i="3"/>
  <c r="G575" i="3"/>
  <c r="G541" i="3"/>
  <c r="L145" i="3"/>
  <c r="AB57" i="4"/>
  <c r="AB8" i="5" s="1"/>
  <c r="AB26" i="4"/>
  <c r="F383" i="3"/>
  <c r="AC35" i="4"/>
  <c r="AB59" i="4"/>
  <c r="AB9" i="4"/>
  <c r="AB11" i="4"/>
  <c r="AB8" i="4"/>
  <c r="AA302" i="3"/>
  <c r="G381" i="3" s="1"/>
  <c r="AB13" i="3"/>
  <c r="F446" i="3"/>
  <c r="G445" i="3"/>
  <c r="G405" i="3"/>
  <c r="AF43" i="4"/>
  <c r="H129" i="3"/>
  <c r="AO303" i="3" l="1"/>
  <c r="G383" i="3"/>
  <c r="AG44" i="4"/>
  <c r="AG91" i="4" s="1"/>
  <c r="L748" i="3"/>
  <c r="AB302" i="3"/>
  <c r="AC13" i="3"/>
  <c r="F447" i="3"/>
  <c r="G446" i="3"/>
  <c r="AC82" i="4"/>
  <c r="H125" i="3"/>
  <c r="G543" i="3"/>
  <c r="G475" i="3" s="1"/>
  <c r="AB25" i="4"/>
  <c r="AB6" i="4"/>
  <c r="AB53" i="4" s="1"/>
  <c r="AB6" i="5" s="1"/>
  <c r="AB55" i="4"/>
  <c r="AB7" i="5" s="1"/>
  <c r="AB73" i="4"/>
  <c r="H770" i="3"/>
  <c r="AF90" i="4"/>
  <c r="AF45" i="4"/>
  <c r="AB58" i="4"/>
  <c r="AB56" i="4"/>
  <c r="AB24" i="4"/>
  <c r="AB7" i="4"/>
  <c r="AB54" i="4" s="1"/>
  <c r="AM582" i="3"/>
  <c r="AM462" i="3"/>
  <c r="AP303" i="3" l="1"/>
  <c r="H135" i="3"/>
  <c r="AC302" i="3"/>
  <c r="AD13" i="3"/>
  <c r="F448" i="3"/>
  <c r="G447" i="3"/>
  <c r="AN582" i="3"/>
  <c r="AN462" i="3"/>
  <c r="AC36" i="4"/>
  <c r="AB71" i="4"/>
  <c r="AB11" i="5" s="1"/>
  <c r="AB22" i="4"/>
  <c r="AF16" i="5"/>
  <c r="AF92" i="4"/>
  <c r="AB12" i="5"/>
  <c r="AB72" i="4"/>
  <c r="AB23" i="4"/>
  <c r="AB70" i="4" s="1"/>
  <c r="AQ303" i="3" l="1"/>
  <c r="AB69" i="4"/>
  <c r="E12" i="1"/>
  <c r="AD302" i="3"/>
  <c r="AE13" i="3"/>
  <c r="F449" i="3"/>
  <c r="G448" i="3"/>
  <c r="AC125" i="4"/>
  <c r="AC83" i="4"/>
  <c r="H792" i="3"/>
  <c r="H137" i="3"/>
  <c r="AO582" i="3"/>
  <c r="AO462" i="3"/>
  <c r="AR303" i="3" l="1"/>
  <c r="AP582" i="3"/>
  <c r="AP462" i="3"/>
  <c r="H139" i="3"/>
  <c r="H160" i="3"/>
  <c r="H144" i="3"/>
  <c r="AE302" i="3"/>
  <c r="AF13" i="3"/>
  <c r="F450" i="3"/>
  <c r="G449" i="3"/>
  <c r="AB10" i="5"/>
  <c r="E13" i="1" s="1"/>
  <c r="F30" i="1" s="1"/>
  <c r="AC133" i="4"/>
  <c r="AB130" i="4"/>
  <c r="AB143" i="4"/>
  <c r="AB118" i="4"/>
  <c r="AS303" i="3" l="1"/>
  <c r="H138" i="3"/>
  <c r="AF302" i="3"/>
  <c r="AG13" i="3"/>
  <c r="F451" i="3"/>
  <c r="G450" i="3"/>
  <c r="H742" i="3"/>
  <c r="H143" i="3"/>
  <c r="AQ582" i="3"/>
  <c r="AQ462" i="3"/>
  <c r="F27" i="1"/>
  <c r="F28" i="1" s="1"/>
  <c r="AT303" i="3" l="1"/>
  <c r="AR582" i="3"/>
  <c r="AR462" i="3"/>
  <c r="H583" i="3"/>
  <c r="H463" i="3"/>
  <c r="H751" i="3"/>
  <c r="AG302" i="3"/>
  <c r="AH13" i="3"/>
  <c r="F452" i="3"/>
  <c r="G451" i="3"/>
  <c r="H304" i="3"/>
  <c r="H164" i="3"/>
  <c r="AU303" i="3" l="1"/>
  <c r="AC41" i="4"/>
  <c r="AC88" i="4" s="1"/>
  <c r="AS462" i="3"/>
  <c r="AS582" i="3"/>
  <c r="H743" i="3"/>
  <c r="H483" i="3"/>
  <c r="H485" i="3" s="1"/>
  <c r="H486" i="3" s="1"/>
  <c r="H466" i="3"/>
  <c r="H537" i="3"/>
  <c r="H539" i="3" s="1"/>
  <c r="H540" i="3" s="1"/>
  <c r="H508" i="3"/>
  <c r="H510" i="3" s="1"/>
  <c r="H511" i="3" s="1"/>
  <c r="H465" i="3"/>
  <c r="H468" i="3" s="1"/>
  <c r="AH302" i="3"/>
  <c r="AI13" i="3"/>
  <c r="F453" i="3"/>
  <c r="G452" i="3"/>
  <c r="H731" i="3"/>
  <c r="H227" i="3"/>
  <c r="H229" i="3" s="1"/>
  <c r="H200" i="3"/>
  <c r="H202" i="3" s="1"/>
  <c r="H166" i="3"/>
  <c r="H260" i="3"/>
  <c r="H262" i="3" s="1"/>
  <c r="H178" i="3"/>
  <c r="H180" i="3" s="1"/>
  <c r="H377" i="3"/>
  <c r="H379" i="3" s="1"/>
  <c r="H380" i="3" s="1"/>
  <c r="H307" i="3"/>
  <c r="H309" i="3" s="1"/>
  <c r="H800" i="3" s="1"/>
  <c r="H732" i="3"/>
  <c r="H306" i="3"/>
  <c r="H324" i="3"/>
  <c r="H326" i="3" s="1"/>
  <c r="H327" i="3" s="1"/>
  <c r="H417" i="3"/>
  <c r="H419" i="3" s="1"/>
  <c r="H420" i="3" s="1"/>
  <c r="H348" i="3"/>
  <c r="H350" i="3" s="1"/>
  <c r="H351" i="3" s="1"/>
  <c r="H686" i="3"/>
  <c r="H688" i="3" s="1"/>
  <c r="H689" i="3" s="1"/>
  <c r="H744" i="3"/>
  <c r="H602" i="3"/>
  <c r="H604" i="3" s="1"/>
  <c r="H605" i="3" s="1"/>
  <c r="H649" i="3"/>
  <c r="H651" i="3" s="1"/>
  <c r="H652" i="3" s="1"/>
  <c r="H585" i="3"/>
  <c r="H588" i="3" s="1"/>
  <c r="H623" i="3"/>
  <c r="H625" i="3" s="1"/>
  <c r="H626" i="3" s="1"/>
  <c r="H586" i="3"/>
  <c r="H789" i="3" l="1"/>
  <c r="H730" i="3"/>
  <c r="H740" i="3"/>
  <c r="H612" i="3"/>
  <c r="H610" i="3"/>
  <c r="H606" i="3"/>
  <c r="H613" i="3"/>
  <c r="H609" i="3"/>
  <c r="I615" i="3" s="1"/>
  <c r="H611" i="3"/>
  <c r="M593" i="3"/>
  <c r="M594" i="3" s="1"/>
  <c r="H753" i="3"/>
  <c r="H404" i="3"/>
  <c r="H402" i="3"/>
  <c r="H400" i="3"/>
  <c r="H398" i="3"/>
  <c r="H396" i="3"/>
  <c r="H394" i="3"/>
  <c r="H392" i="3"/>
  <c r="H390" i="3"/>
  <c r="H388" i="3"/>
  <c r="H386" i="3"/>
  <c r="I407" i="3" s="1"/>
  <c r="H381" i="3"/>
  <c r="H405" i="3"/>
  <c r="H401" i="3"/>
  <c r="H397" i="3"/>
  <c r="H393" i="3"/>
  <c r="H389" i="3"/>
  <c r="H399" i="3"/>
  <c r="H391" i="3"/>
  <c r="H395" i="3"/>
  <c r="H387" i="3"/>
  <c r="H403" i="3"/>
  <c r="H752" i="3"/>
  <c r="H673" i="3"/>
  <c r="H675" i="3"/>
  <c r="H668" i="3"/>
  <c r="H666" i="3"/>
  <c r="H664" i="3"/>
  <c r="H662" i="3"/>
  <c r="H660" i="3"/>
  <c r="H658" i="3"/>
  <c r="H656" i="3"/>
  <c r="I677" i="3" s="1"/>
  <c r="H674" i="3"/>
  <c r="H671" i="3"/>
  <c r="H670" i="3"/>
  <c r="H667" i="3"/>
  <c r="H663" i="3"/>
  <c r="H659" i="3"/>
  <c r="H653" i="3"/>
  <c r="H672" i="3"/>
  <c r="H665" i="3"/>
  <c r="H657" i="3"/>
  <c r="H661" i="3"/>
  <c r="H669" i="3"/>
  <c r="H802" i="3"/>
  <c r="H796" i="3"/>
  <c r="AT462" i="3"/>
  <c r="AT582" i="3"/>
  <c r="H451" i="3"/>
  <c r="H449" i="3"/>
  <c r="H447" i="3"/>
  <c r="H445" i="3"/>
  <c r="H443" i="3"/>
  <c r="H441" i="3"/>
  <c r="H439" i="3"/>
  <c r="H437" i="3"/>
  <c r="H435" i="3"/>
  <c r="H433" i="3"/>
  <c r="H431" i="3"/>
  <c r="H429" i="3"/>
  <c r="H427" i="3"/>
  <c r="H450" i="3"/>
  <c r="H446" i="3"/>
  <c r="H442" i="3"/>
  <c r="H438" i="3"/>
  <c r="H434" i="3"/>
  <c r="H430" i="3"/>
  <c r="H426" i="3"/>
  <c r="I457" i="3" s="1"/>
  <c r="H452" i="3"/>
  <c r="H444" i="3"/>
  <c r="H436" i="3"/>
  <c r="H428" i="3"/>
  <c r="H448" i="3"/>
  <c r="H440" i="3"/>
  <c r="H432" i="3"/>
  <c r="H741" i="3"/>
  <c r="H496" i="3"/>
  <c r="H494" i="3"/>
  <c r="H492" i="3"/>
  <c r="I498" i="3" s="1"/>
  <c r="H487" i="3"/>
  <c r="H493" i="3"/>
  <c r="M473" i="3"/>
  <c r="H495" i="3"/>
  <c r="H188" i="3"/>
  <c r="H186" i="3"/>
  <c r="H187" i="3"/>
  <c r="H189" i="3"/>
  <c r="H185" i="3"/>
  <c r="I191" i="3" s="1"/>
  <c r="L169" i="3"/>
  <c r="H366" i="3"/>
  <c r="H364" i="3"/>
  <c r="H362" i="3"/>
  <c r="H360" i="3"/>
  <c r="H358" i="3"/>
  <c r="H365" i="3"/>
  <c r="H361" i="3"/>
  <c r="H357" i="3"/>
  <c r="I368" i="3" s="1"/>
  <c r="H363" i="3"/>
  <c r="H352" i="3"/>
  <c r="H359" i="3"/>
  <c r="H638" i="3"/>
  <c r="H636" i="3"/>
  <c r="H634" i="3"/>
  <c r="H632" i="3"/>
  <c r="H630" i="3"/>
  <c r="I641" i="3" s="1"/>
  <c r="H639" i="3"/>
  <c r="H635" i="3"/>
  <c r="H631" i="3"/>
  <c r="H637" i="3"/>
  <c r="H633" i="3"/>
  <c r="H627" i="3"/>
  <c r="H336" i="3"/>
  <c r="H334" i="3"/>
  <c r="H337" i="3"/>
  <c r="H333" i="3"/>
  <c r="I339" i="3" s="1"/>
  <c r="H335" i="3"/>
  <c r="H328" i="3"/>
  <c r="M314" i="3"/>
  <c r="I312" i="3"/>
  <c r="I313" i="3" s="1"/>
  <c r="I134" i="3" s="1"/>
  <c r="H216" i="3"/>
  <c r="H214" i="3"/>
  <c r="H212" i="3"/>
  <c r="H210" i="3"/>
  <c r="H208" i="3"/>
  <c r="H215" i="3"/>
  <c r="H211" i="3"/>
  <c r="H207" i="3"/>
  <c r="I218" i="3" s="1"/>
  <c r="H213" i="3"/>
  <c r="H209" i="3"/>
  <c r="H526" i="3"/>
  <c r="H524" i="3"/>
  <c r="H522" i="3"/>
  <c r="H520" i="3"/>
  <c r="H518" i="3"/>
  <c r="H525" i="3"/>
  <c r="H521" i="3"/>
  <c r="H517" i="3"/>
  <c r="I528" i="3" s="1"/>
  <c r="H512" i="3"/>
  <c r="H523" i="3"/>
  <c r="H519" i="3"/>
  <c r="H690" i="3"/>
  <c r="H708" i="3"/>
  <c r="H721" i="3"/>
  <c r="H707" i="3"/>
  <c r="H722" i="3"/>
  <c r="H706" i="3"/>
  <c r="H717" i="3"/>
  <c r="H711" i="3"/>
  <c r="H720" i="3"/>
  <c r="H704" i="3"/>
  <c r="H713" i="3"/>
  <c r="H695" i="3"/>
  <c r="H718" i="3"/>
  <c r="H702" i="3"/>
  <c r="H709" i="3"/>
  <c r="H715" i="3"/>
  <c r="H716" i="3"/>
  <c r="H700" i="3"/>
  <c r="H705" i="3"/>
  <c r="H703" i="3"/>
  <c r="H714" i="3"/>
  <c r="H698" i="3"/>
  <c r="H701" i="3"/>
  <c r="H699" i="3"/>
  <c r="H712" i="3"/>
  <c r="H696" i="3"/>
  <c r="H697" i="3"/>
  <c r="H719" i="3"/>
  <c r="H710" i="3"/>
  <c r="H694" i="3"/>
  <c r="H693" i="3"/>
  <c r="I724" i="3" s="1"/>
  <c r="AI302" i="3"/>
  <c r="AJ13" i="3"/>
  <c r="H453" i="3" s="1"/>
  <c r="F454" i="3"/>
  <c r="G453" i="3"/>
  <c r="H296" i="3"/>
  <c r="H294" i="3"/>
  <c r="H292" i="3"/>
  <c r="H290" i="3"/>
  <c r="H288" i="3"/>
  <c r="H286" i="3"/>
  <c r="H284" i="3"/>
  <c r="H282" i="3"/>
  <c r="H280" i="3"/>
  <c r="H278" i="3"/>
  <c r="H276" i="3"/>
  <c r="H274" i="3"/>
  <c r="H272" i="3"/>
  <c r="H270" i="3"/>
  <c r="H268" i="3"/>
  <c r="H293" i="3"/>
  <c r="H289" i="3"/>
  <c r="H285" i="3"/>
  <c r="H281" i="3"/>
  <c r="H277" i="3"/>
  <c r="H273" i="3"/>
  <c r="H269" i="3"/>
  <c r="H291" i="3"/>
  <c r="H283" i="3"/>
  <c r="H275" i="3"/>
  <c r="H267" i="3"/>
  <c r="I298" i="3" s="1"/>
  <c r="H295" i="3"/>
  <c r="H287" i="3"/>
  <c r="H279" i="3"/>
  <c r="H271" i="3"/>
  <c r="H248" i="3"/>
  <c r="H246" i="3"/>
  <c r="H244" i="3"/>
  <c r="H242" i="3"/>
  <c r="H240" i="3"/>
  <c r="H238" i="3"/>
  <c r="H236" i="3"/>
  <c r="H234" i="3"/>
  <c r="I250" i="3" s="1"/>
  <c r="H247" i="3"/>
  <c r="H243" i="3"/>
  <c r="H239" i="3"/>
  <c r="H235" i="3"/>
  <c r="H245" i="3"/>
  <c r="H241" i="3"/>
  <c r="H237" i="3"/>
  <c r="H575" i="3"/>
  <c r="H573" i="3"/>
  <c r="H571" i="3"/>
  <c r="H569" i="3"/>
  <c r="H567" i="3"/>
  <c r="H565" i="3"/>
  <c r="H563" i="3"/>
  <c r="H561" i="3"/>
  <c r="H559" i="3"/>
  <c r="H557" i="3"/>
  <c r="H555" i="3"/>
  <c r="H553" i="3"/>
  <c r="H551" i="3"/>
  <c r="H549" i="3"/>
  <c r="H547" i="3"/>
  <c r="H541" i="3"/>
  <c r="H574" i="3"/>
  <c r="H570" i="3"/>
  <c r="H566" i="3"/>
  <c r="H562" i="3"/>
  <c r="H558" i="3"/>
  <c r="H554" i="3"/>
  <c r="H550" i="3"/>
  <c r="H546" i="3"/>
  <c r="I577" i="3" s="1"/>
  <c r="H572" i="3"/>
  <c r="H568" i="3"/>
  <c r="H564" i="3"/>
  <c r="H560" i="3"/>
  <c r="H556" i="3"/>
  <c r="H552" i="3"/>
  <c r="H548" i="3"/>
  <c r="H785" i="3" l="1"/>
  <c r="H781" i="3" s="1"/>
  <c r="H791" i="3"/>
  <c r="I590" i="3"/>
  <c r="I591" i="3" s="1"/>
  <c r="H354" i="3"/>
  <c r="H330" i="3"/>
  <c r="I167" i="3"/>
  <c r="I757" i="3" s="1"/>
  <c r="H231" i="3"/>
  <c r="H787" i="3"/>
  <c r="H383" i="3"/>
  <c r="H543" i="3"/>
  <c r="AJ302" i="3"/>
  <c r="F421" i="3" s="1"/>
  <c r="AK13" i="3"/>
  <c r="F455" i="3"/>
  <c r="G454" i="3"/>
  <c r="I764" i="3"/>
  <c r="I132" i="3"/>
  <c r="L737" i="3"/>
  <c r="L141" i="3"/>
  <c r="M801" i="3"/>
  <c r="M315" i="3"/>
  <c r="H489" i="3"/>
  <c r="H777" i="3"/>
  <c r="H798" i="3"/>
  <c r="H739" i="3"/>
  <c r="H776" i="3"/>
  <c r="AU582" i="3"/>
  <c r="AU462" i="3"/>
  <c r="H182" i="3"/>
  <c r="H264" i="3"/>
  <c r="H204" i="3"/>
  <c r="M750" i="3"/>
  <c r="M147" i="3"/>
  <c r="M790" i="3"/>
  <c r="M474" i="3"/>
  <c r="I470" i="3"/>
  <c r="H514" i="3"/>
  <c r="I310" i="3"/>
  <c r="I758" i="3" s="1"/>
  <c r="I769" i="3" l="1"/>
  <c r="F423" i="3"/>
  <c r="F316" i="3" s="1"/>
  <c r="F761" i="3" s="1"/>
  <c r="F759" i="3" s="1"/>
  <c r="F762" i="3" s="1"/>
  <c r="AA32" i="4" s="1"/>
  <c r="H475" i="3"/>
  <c r="AC40" i="4"/>
  <c r="L736" i="3"/>
  <c r="H170" i="3"/>
  <c r="H760" i="3" s="1"/>
  <c r="I131" i="3"/>
  <c r="H782" i="3"/>
  <c r="M738" i="3"/>
  <c r="M142" i="3"/>
  <c r="I765" i="3"/>
  <c r="I768" i="3"/>
  <c r="I471" i="3"/>
  <c r="I128" i="3"/>
  <c r="AV582" i="3"/>
  <c r="AV462" i="3"/>
  <c r="H775" i="3"/>
  <c r="I756" i="3"/>
  <c r="AK302" i="3"/>
  <c r="G421" i="3" s="1"/>
  <c r="AL13" i="3"/>
  <c r="G455" i="3"/>
  <c r="H454" i="3"/>
  <c r="M749" i="3"/>
  <c r="M146" i="3"/>
  <c r="L140" i="3"/>
  <c r="AA34" i="4" l="1"/>
  <c r="AA81" i="4" s="1"/>
  <c r="G423" i="3"/>
  <c r="G316" i="3" s="1"/>
  <c r="G761" i="3" s="1"/>
  <c r="G759" i="3" s="1"/>
  <c r="AB34" i="4" s="1"/>
  <c r="AB81" i="4" s="1"/>
  <c r="AA123" i="4"/>
  <c r="AA79" i="4"/>
  <c r="AA31" i="4"/>
  <c r="M145" i="3"/>
  <c r="AD35" i="4"/>
  <c r="AG43" i="4"/>
  <c r="H779" i="3"/>
  <c r="AW582" i="3"/>
  <c r="AW462" i="3"/>
  <c r="AL302" i="3"/>
  <c r="H421" i="3" s="1"/>
  <c r="AM13" i="3"/>
  <c r="H455" i="3"/>
  <c r="AC13" i="4"/>
  <c r="I129" i="3"/>
  <c r="I767" i="3"/>
  <c r="I126" i="3"/>
  <c r="AC42" i="4"/>
  <c r="AC87" i="4"/>
  <c r="AC89" i="4" s="1"/>
  <c r="AA33" i="4" l="1"/>
  <c r="AA80" i="4" s="1"/>
  <c r="G762" i="3"/>
  <c r="AB32" i="4" s="1"/>
  <c r="AB79" i="4" s="1"/>
  <c r="AD82" i="4"/>
  <c r="AX582" i="3"/>
  <c r="AX462" i="3"/>
  <c r="AA78" i="4"/>
  <c r="AA124" i="4"/>
  <c r="AA37" i="4"/>
  <c r="H423" i="3"/>
  <c r="H316" i="3" s="1"/>
  <c r="H761" i="3" s="1"/>
  <c r="AC12" i="4"/>
  <c r="I770" i="3"/>
  <c r="AH44" i="4"/>
  <c r="AH91" i="4" s="1"/>
  <c r="M748" i="3"/>
  <c r="AG90" i="4"/>
  <c r="AG45" i="4"/>
  <c r="AC60" i="4"/>
  <c r="AC10" i="4"/>
  <c r="I125" i="3"/>
  <c r="AN13" i="3"/>
  <c r="AM302" i="3"/>
  <c r="AB123" i="4" l="1"/>
  <c r="AB33" i="4"/>
  <c r="AB80" i="4" s="1"/>
  <c r="AB31" i="4"/>
  <c r="AB37" i="4" s="1"/>
  <c r="AC59" i="4"/>
  <c r="AC11" i="4"/>
  <c r="AC9" i="4"/>
  <c r="AC8" i="4"/>
  <c r="H759" i="3"/>
  <c r="I135" i="3"/>
  <c r="AY582" i="3"/>
  <c r="AY462" i="3"/>
  <c r="AD36" i="4"/>
  <c r="AG92" i="4"/>
  <c r="AG16" i="5"/>
  <c r="AN302" i="3"/>
  <c r="AO13" i="3"/>
  <c r="AA126" i="4"/>
  <c r="AA127" i="4"/>
  <c r="AA46" i="4"/>
  <c r="AA84" i="4"/>
  <c r="AC57" i="4"/>
  <c r="AC8" i="5" s="1"/>
  <c r="AC26" i="4"/>
  <c r="AB78" i="4" l="1"/>
  <c r="AB124" i="4"/>
  <c r="AC34" i="4"/>
  <c r="AC81" i="4" s="1"/>
  <c r="H762" i="3"/>
  <c r="AB126" i="4"/>
  <c r="AB127" i="4"/>
  <c r="AB84" i="4"/>
  <c r="AB46" i="4"/>
  <c r="AA93" i="4"/>
  <c r="AA18" i="5" s="1"/>
  <c r="AA19" i="5" s="1"/>
  <c r="AA48" i="4"/>
  <c r="AA95" i="4" s="1"/>
  <c r="AD83" i="4"/>
  <c r="AD125" i="4"/>
  <c r="I792" i="3"/>
  <c r="AC58" i="4"/>
  <c r="I137" i="3"/>
  <c r="AZ582" i="3"/>
  <c r="AZ462" i="3"/>
  <c r="AC25" i="4"/>
  <c r="AC6" i="4"/>
  <c r="AC53" i="4" s="1"/>
  <c r="AC6" i="5" s="1"/>
  <c r="AC55" i="4"/>
  <c r="AC7" i="5" s="1"/>
  <c r="AA141" i="4"/>
  <c r="D14" i="1"/>
  <c r="D36" i="1" s="1"/>
  <c r="AC7" i="4"/>
  <c r="AC54" i="4" s="1"/>
  <c r="AC56" i="4"/>
  <c r="AC24" i="4"/>
  <c r="AC73" i="4"/>
  <c r="AO302" i="3"/>
  <c r="AP13" i="3"/>
  <c r="AB93" i="4" l="1"/>
  <c r="AB18" i="5" s="1"/>
  <c r="AB19" i="5" s="1"/>
  <c r="AB48" i="4"/>
  <c r="AB95" i="4" s="1"/>
  <c r="AC32" i="4"/>
  <c r="AC72" i="4"/>
  <c r="AC23" i="4"/>
  <c r="AC70" i="4" s="1"/>
  <c r="AC71" i="4"/>
  <c r="AC11" i="5" s="1"/>
  <c r="AC22" i="4"/>
  <c r="AP302" i="3"/>
  <c r="AQ13" i="3"/>
  <c r="AB141" i="4"/>
  <c r="E14" i="1"/>
  <c r="E36" i="1" s="1"/>
  <c r="I139" i="3"/>
  <c r="I160" i="3"/>
  <c r="I144" i="3"/>
  <c r="AC12" i="5"/>
  <c r="I138" i="3" l="1"/>
  <c r="AC69" i="4"/>
  <c r="F12" i="1"/>
  <c r="AQ302" i="3"/>
  <c r="AR13" i="3"/>
  <c r="AC79" i="4"/>
  <c r="AC123" i="4"/>
  <c r="AC33" i="4"/>
  <c r="AC80" i="4" s="1"/>
  <c r="AC31" i="4"/>
  <c r="I742" i="3"/>
  <c r="I143" i="3"/>
  <c r="I583" i="3" l="1"/>
  <c r="I463" i="3"/>
  <c r="AR302" i="3"/>
  <c r="AS13" i="3"/>
  <c r="I751" i="3"/>
  <c r="AC124" i="4"/>
  <c r="AC78" i="4"/>
  <c r="AC37" i="4"/>
  <c r="I164" i="3"/>
  <c r="I304" i="3"/>
  <c r="AC10" i="5"/>
  <c r="F13" i="1" s="1"/>
  <c r="G30" i="1" s="1"/>
  <c r="AC143" i="4"/>
  <c r="AD133" i="4"/>
  <c r="AC130" i="4"/>
  <c r="AC118" i="4"/>
  <c r="AS302" i="3" l="1"/>
  <c r="AT13" i="3"/>
  <c r="G27" i="1"/>
  <c r="G28" i="1" s="1"/>
  <c r="I743" i="3"/>
  <c r="I483" i="3"/>
  <c r="I485" i="3" s="1"/>
  <c r="I486" i="3" s="1"/>
  <c r="I466" i="3"/>
  <c r="I537" i="3"/>
  <c r="I539" i="3" s="1"/>
  <c r="I540" i="3" s="1"/>
  <c r="I508" i="3"/>
  <c r="I510" i="3" s="1"/>
  <c r="I511" i="3" s="1"/>
  <c r="I465" i="3"/>
  <c r="I468" i="3" s="1"/>
  <c r="I732" i="3"/>
  <c r="I377" i="3"/>
  <c r="I379" i="3" s="1"/>
  <c r="I380" i="3" s="1"/>
  <c r="I307" i="3"/>
  <c r="I309" i="3" s="1"/>
  <c r="I800" i="3" s="1"/>
  <c r="I306" i="3"/>
  <c r="I417" i="3"/>
  <c r="I419" i="3" s="1"/>
  <c r="I420" i="3" s="1"/>
  <c r="I348" i="3"/>
  <c r="I350" i="3" s="1"/>
  <c r="I351" i="3" s="1"/>
  <c r="I324" i="3"/>
  <c r="I326" i="3" s="1"/>
  <c r="I327" i="3" s="1"/>
  <c r="I731" i="3"/>
  <c r="I260" i="3"/>
  <c r="I262" i="3" s="1"/>
  <c r="I200" i="3"/>
  <c r="I202" i="3" s="1"/>
  <c r="I178" i="3"/>
  <c r="I180" i="3" s="1"/>
  <c r="I166" i="3"/>
  <c r="I227" i="3"/>
  <c r="I229" i="3" s="1"/>
  <c r="AC126" i="4"/>
  <c r="AC127" i="4"/>
  <c r="AC84" i="4"/>
  <c r="AC46" i="4"/>
  <c r="AD41" i="4"/>
  <c r="AD88" i="4" s="1"/>
  <c r="I686" i="3"/>
  <c r="I688" i="3" s="1"/>
  <c r="I689" i="3" s="1"/>
  <c r="I602" i="3"/>
  <c r="I604" i="3" s="1"/>
  <c r="I605" i="3" s="1"/>
  <c r="I744" i="3"/>
  <c r="I585" i="3"/>
  <c r="I588" i="3" s="1"/>
  <c r="I649" i="3"/>
  <c r="I651" i="3" s="1"/>
  <c r="I652" i="3" s="1"/>
  <c r="I586" i="3"/>
  <c r="I623" i="3"/>
  <c r="I625" i="3" s="1"/>
  <c r="I626" i="3" s="1"/>
  <c r="I789" i="3" l="1"/>
  <c r="I785" i="3" s="1"/>
  <c r="I753" i="3"/>
  <c r="I741" i="3"/>
  <c r="AT302" i="3"/>
  <c r="AU13" i="3"/>
  <c r="I366" i="3"/>
  <c r="I364" i="3"/>
  <c r="I362" i="3"/>
  <c r="I360" i="3"/>
  <c r="I358" i="3"/>
  <c r="I365" i="3"/>
  <c r="I361" i="3"/>
  <c r="I357" i="3"/>
  <c r="J368" i="3" s="1"/>
  <c r="I363" i="3"/>
  <c r="I352" i="3"/>
  <c r="I359" i="3"/>
  <c r="I638" i="3"/>
  <c r="I636" i="3"/>
  <c r="I634" i="3"/>
  <c r="I632" i="3"/>
  <c r="I630" i="3"/>
  <c r="J641" i="3" s="1"/>
  <c r="I639" i="3"/>
  <c r="I635" i="3"/>
  <c r="I631" i="3"/>
  <c r="I637" i="3"/>
  <c r="I627" i="3"/>
  <c r="I633" i="3"/>
  <c r="I455" i="3"/>
  <c r="I453" i="3"/>
  <c r="I451" i="3"/>
  <c r="I449" i="3"/>
  <c r="I447" i="3"/>
  <c r="I445" i="3"/>
  <c r="I443" i="3"/>
  <c r="I441" i="3"/>
  <c r="I439" i="3"/>
  <c r="I437" i="3"/>
  <c r="I435" i="3"/>
  <c r="I433" i="3"/>
  <c r="I431" i="3"/>
  <c r="I429" i="3"/>
  <c r="I427" i="3"/>
  <c r="I454" i="3"/>
  <c r="I450" i="3"/>
  <c r="I446" i="3"/>
  <c r="I442" i="3"/>
  <c r="I438" i="3"/>
  <c r="I434" i="3"/>
  <c r="I430" i="3"/>
  <c r="I426" i="3"/>
  <c r="J457" i="3" s="1"/>
  <c r="I452" i="3"/>
  <c r="I444" i="3"/>
  <c r="I436" i="3"/>
  <c r="I428" i="3"/>
  <c r="I448" i="3"/>
  <c r="I440" i="3"/>
  <c r="I432" i="3"/>
  <c r="I421" i="3"/>
  <c r="I496" i="3"/>
  <c r="I494" i="3"/>
  <c r="I492" i="3"/>
  <c r="J498" i="3" s="1"/>
  <c r="I487" i="3"/>
  <c r="I493" i="3"/>
  <c r="I495" i="3"/>
  <c r="N473" i="3"/>
  <c r="I526" i="3"/>
  <c r="I524" i="3"/>
  <c r="I522" i="3"/>
  <c r="I520" i="3"/>
  <c r="I518" i="3"/>
  <c r="I525" i="3"/>
  <c r="I521" i="3"/>
  <c r="I517" i="3"/>
  <c r="J528" i="3" s="1"/>
  <c r="I523" i="3"/>
  <c r="I519" i="3"/>
  <c r="I512" i="3"/>
  <c r="AC141" i="4"/>
  <c r="F14" i="1"/>
  <c r="F36" i="1" s="1"/>
  <c r="I247" i="3"/>
  <c r="I245" i="3"/>
  <c r="I243" i="3"/>
  <c r="I241" i="3"/>
  <c r="I239" i="3"/>
  <c r="I237" i="3"/>
  <c r="I235" i="3"/>
  <c r="I248" i="3"/>
  <c r="I244" i="3"/>
  <c r="I240" i="3"/>
  <c r="I236" i="3"/>
  <c r="I242" i="3"/>
  <c r="I238" i="3"/>
  <c r="I246" i="3"/>
  <c r="I234" i="3"/>
  <c r="J250" i="3" s="1"/>
  <c r="I189" i="3"/>
  <c r="I187" i="3"/>
  <c r="I185" i="3"/>
  <c r="J191" i="3" s="1"/>
  <c r="I186" i="3"/>
  <c r="I188" i="3"/>
  <c r="M169" i="3"/>
  <c r="I802" i="3"/>
  <c r="I796" i="3"/>
  <c r="I752" i="3"/>
  <c r="I295" i="3"/>
  <c r="I293" i="3"/>
  <c r="I291" i="3"/>
  <c r="I289" i="3"/>
  <c r="I287" i="3"/>
  <c r="I285" i="3"/>
  <c r="I283" i="3"/>
  <c r="I281" i="3"/>
  <c r="I279" i="3"/>
  <c r="I277" i="3"/>
  <c r="I275" i="3"/>
  <c r="I273" i="3"/>
  <c r="I271" i="3"/>
  <c r="I269" i="3"/>
  <c r="I267" i="3"/>
  <c r="J298" i="3" s="1"/>
  <c r="I296" i="3"/>
  <c r="I292" i="3"/>
  <c r="I288" i="3"/>
  <c r="I284" i="3"/>
  <c r="I280" i="3"/>
  <c r="I276" i="3"/>
  <c r="I272" i="3"/>
  <c r="I268" i="3"/>
  <c r="I290" i="3"/>
  <c r="I282" i="3"/>
  <c r="I274" i="3"/>
  <c r="I270" i="3"/>
  <c r="I286" i="3"/>
  <c r="I278" i="3"/>
  <c r="I294" i="3"/>
  <c r="I612" i="3"/>
  <c r="I610" i="3"/>
  <c r="I606" i="3"/>
  <c r="I609" i="3"/>
  <c r="J615" i="3" s="1"/>
  <c r="I611" i="3"/>
  <c r="I613" i="3"/>
  <c r="N593" i="3"/>
  <c r="N594" i="3" s="1"/>
  <c r="I730" i="3"/>
  <c r="I740" i="3"/>
  <c r="I690" i="3"/>
  <c r="I719" i="3"/>
  <c r="I715" i="3"/>
  <c r="I711" i="3"/>
  <c r="I707" i="3"/>
  <c r="I703" i="3"/>
  <c r="I699" i="3"/>
  <c r="I695" i="3"/>
  <c r="I721" i="3"/>
  <c r="I713" i="3"/>
  <c r="I705" i="3"/>
  <c r="I697" i="3"/>
  <c r="I717" i="3"/>
  <c r="I709" i="3"/>
  <c r="I701" i="3"/>
  <c r="I693" i="3"/>
  <c r="J724" i="3" s="1"/>
  <c r="I694" i="3"/>
  <c r="I710" i="3"/>
  <c r="I712" i="3"/>
  <c r="I700" i="3"/>
  <c r="I696" i="3"/>
  <c r="I716" i="3"/>
  <c r="I698" i="3"/>
  <c r="I714" i="3"/>
  <c r="I720" i="3"/>
  <c r="I708" i="3"/>
  <c r="I704" i="3"/>
  <c r="I706" i="3"/>
  <c r="I702" i="3"/>
  <c r="I718" i="3"/>
  <c r="I722" i="3"/>
  <c r="I336" i="3"/>
  <c r="I334" i="3"/>
  <c r="I337" i="3"/>
  <c r="I333" i="3"/>
  <c r="J339" i="3" s="1"/>
  <c r="I328" i="3"/>
  <c r="I335" i="3"/>
  <c r="N314" i="3"/>
  <c r="J312" i="3"/>
  <c r="J313" i="3" s="1"/>
  <c r="J134" i="3" s="1"/>
  <c r="I575" i="3"/>
  <c r="I573" i="3"/>
  <c r="I571" i="3"/>
  <c r="I569" i="3"/>
  <c r="I567" i="3"/>
  <c r="I565" i="3"/>
  <c r="I563" i="3"/>
  <c r="I561" i="3"/>
  <c r="I559" i="3"/>
  <c r="I557" i="3"/>
  <c r="I555" i="3"/>
  <c r="I553" i="3"/>
  <c r="I551" i="3"/>
  <c r="I549" i="3"/>
  <c r="I547" i="3"/>
  <c r="I541" i="3"/>
  <c r="I574" i="3"/>
  <c r="I570" i="3"/>
  <c r="I566" i="3"/>
  <c r="I562" i="3"/>
  <c r="I558" i="3"/>
  <c r="I554" i="3"/>
  <c r="I550" i="3"/>
  <c r="I546" i="3"/>
  <c r="J577" i="3" s="1"/>
  <c r="I564" i="3"/>
  <c r="I552" i="3"/>
  <c r="I572" i="3"/>
  <c r="I560" i="3"/>
  <c r="I556" i="3"/>
  <c r="I548" i="3"/>
  <c r="I568" i="3"/>
  <c r="I674" i="3"/>
  <c r="I672" i="3"/>
  <c r="I670" i="3"/>
  <c r="I675" i="3"/>
  <c r="I668" i="3"/>
  <c r="I666" i="3"/>
  <c r="I664" i="3"/>
  <c r="I662" i="3"/>
  <c r="I660" i="3"/>
  <c r="I658" i="3"/>
  <c r="I656" i="3"/>
  <c r="J677" i="3" s="1"/>
  <c r="I673" i="3"/>
  <c r="I671" i="3"/>
  <c r="I667" i="3"/>
  <c r="I659" i="3"/>
  <c r="I661" i="3"/>
  <c r="I653" i="3"/>
  <c r="I665" i="3"/>
  <c r="I669" i="3"/>
  <c r="I663" i="3"/>
  <c r="I657" i="3"/>
  <c r="AC93" i="4"/>
  <c r="AC18" i="5" s="1"/>
  <c r="AC19" i="5" s="1"/>
  <c r="AC48" i="4"/>
  <c r="AC95" i="4" s="1"/>
  <c r="I215" i="3"/>
  <c r="I213" i="3"/>
  <c r="I211" i="3"/>
  <c r="I209" i="3"/>
  <c r="I207" i="3"/>
  <c r="J218" i="3" s="1"/>
  <c r="I216" i="3"/>
  <c r="I212" i="3"/>
  <c r="I208" i="3"/>
  <c r="I210" i="3"/>
  <c r="I214" i="3"/>
  <c r="I404" i="3"/>
  <c r="I402" i="3"/>
  <c r="I400" i="3"/>
  <c r="I398" i="3"/>
  <c r="I396" i="3"/>
  <c r="I394" i="3"/>
  <c r="I392" i="3"/>
  <c r="I390" i="3"/>
  <c r="I388" i="3"/>
  <c r="I386" i="3"/>
  <c r="J407" i="3" s="1"/>
  <c r="I381" i="3"/>
  <c r="I405" i="3"/>
  <c r="I401" i="3"/>
  <c r="I397" i="3"/>
  <c r="I393" i="3"/>
  <c r="I389" i="3"/>
  <c r="I399" i="3"/>
  <c r="I391" i="3"/>
  <c r="I403" i="3"/>
  <c r="I395" i="3"/>
  <c r="I387" i="3"/>
  <c r="I791" i="3" l="1"/>
  <c r="J470" i="3"/>
  <c r="J768" i="3" s="1"/>
  <c r="I354" i="3"/>
  <c r="I423" i="3"/>
  <c r="I781" i="3"/>
  <c r="I787" i="3"/>
  <c r="I204" i="3"/>
  <c r="N801" i="3"/>
  <c r="N315" i="3"/>
  <c r="I489" i="3"/>
  <c r="I383" i="3"/>
  <c r="I264" i="3"/>
  <c r="J167" i="3"/>
  <c r="J757" i="3" s="1"/>
  <c r="I514" i="3"/>
  <c r="M737" i="3"/>
  <c r="M141" i="3"/>
  <c r="AU302" i="3"/>
  <c r="AV13" i="3"/>
  <c r="AW13" i="3" s="1"/>
  <c r="AX13" i="3" s="1"/>
  <c r="AY13" i="3" s="1"/>
  <c r="AZ13" i="3" s="1"/>
  <c r="BA13" i="3" s="1"/>
  <c r="J590" i="3"/>
  <c r="I739" i="3"/>
  <c r="I776" i="3"/>
  <c r="J310" i="3"/>
  <c r="J758" i="3" s="1"/>
  <c r="I777" i="3"/>
  <c r="I798" i="3"/>
  <c r="I182" i="3"/>
  <c r="I231" i="3"/>
  <c r="J764" i="3"/>
  <c r="J132" i="3"/>
  <c r="I543" i="3"/>
  <c r="N790" i="3"/>
  <c r="N474" i="3"/>
  <c r="I330" i="3"/>
  <c r="I316" i="3" s="1"/>
  <c r="I761" i="3" s="1"/>
  <c r="N750" i="3"/>
  <c r="N147" i="3"/>
  <c r="J128" i="3" l="1"/>
  <c r="J767" i="3" s="1"/>
  <c r="J471" i="3"/>
  <c r="N738" i="3"/>
  <c r="N142" i="3"/>
  <c r="J131" i="3"/>
  <c r="I170" i="3"/>
  <c r="I760" i="3" s="1"/>
  <c r="N749" i="3"/>
  <c r="N146" i="3"/>
  <c r="I775" i="3"/>
  <c r="M140" i="3"/>
  <c r="I782" i="3"/>
  <c r="J769" i="3"/>
  <c r="J591" i="3"/>
  <c r="J765" i="3"/>
  <c r="M736" i="3"/>
  <c r="AD40" i="4"/>
  <c r="I475" i="3"/>
  <c r="J126" i="3" l="1"/>
  <c r="N145" i="3"/>
  <c r="AD87" i="4"/>
  <c r="AD89" i="4" s="1"/>
  <c r="AD42" i="4"/>
  <c r="AH43" i="4"/>
  <c r="J756" i="3"/>
  <c r="J770" i="3"/>
  <c r="I759" i="3"/>
  <c r="J129" i="3"/>
  <c r="AD13" i="4"/>
  <c r="AE35" i="4"/>
  <c r="I779" i="3"/>
  <c r="AD60" i="4" l="1"/>
  <c r="AD10" i="4"/>
  <c r="AD12" i="4"/>
  <c r="AH90" i="4"/>
  <c r="AH45" i="4"/>
  <c r="AE36" i="4"/>
  <c r="J125" i="3"/>
  <c r="AE82" i="4"/>
  <c r="AI44" i="4"/>
  <c r="AI91" i="4" s="1"/>
  <c r="N748" i="3"/>
  <c r="AD34" i="4"/>
  <c r="AD81" i="4" s="1"/>
  <c r="I762" i="3"/>
  <c r="AH16" i="5" l="1"/>
  <c r="AH92" i="4"/>
  <c r="AD32" i="4"/>
  <c r="J135" i="3"/>
  <c r="AD57" i="4"/>
  <c r="AD8" i="5" s="1"/>
  <c r="AD26" i="4"/>
  <c r="AD59" i="4"/>
  <c r="AD11" i="4"/>
  <c r="AD9" i="4"/>
  <c r="AD8" i="4"/>
  <c r="AE83" i="4"/>
  <c r="J792" i="3"/>
  <c r="J137" i="3" l="1"/>
  <c r="AD56" i="4"/>
  <c r="AD24" i="4"/>
  <c r="AD7" i="4"/>
  <c r="AD54" i="4" s="1"/>
  <c r="AD55" i="4"/>
  <c r="AD7" i="5" s="1"/>
  <c r="AD6" i="4"/>
  <c r="AD53" i="4" s="1"/>
  <c r="AD6" i="5" s="1"/>
  <c r="AD25" i="4"/>
  <c r="AD58" i="4"/>
  <c r="AD73" i="4"/>
  <c r="AD79" i="4"/>
  <c r="AD33" i="4"/>
  <c r="AD80" i="4" s="1"/>
  <c r="AD123" i="4"/>
  <c r="AD31" i="4"/>
  <c r="AE125" i="4"/>
  <c r="AD22" i="4" l="1"/>
  <c r="AD71" i="4"/>
  <c r="AD11" i="5" s="1"/>
  <c r="J139" i="3"/>
  <c r="J160" i="3"/>
  <c r="J144" i="3"/>
  <c r="AD12" i="5"/>
  <c r="AD72" i="4"/>
  <c r="AD23" i="4"/>
  <c r="AD70" i="4" s="1"/>
  <c r="AD124" i="4"/>
  <c r="AD78" i="4"/>
  <c r="AD37" i="4"/>
  <c r="AD69" i="4" l="1"/>
  <c r="G12" i="1"/>
  <c r="J742" i="3"/>
  <c r="J143" i="3"/>
  <c r="J138" i="3"/>
  <c r="AD127" i="4"/>
  <c r="AD126" i="4"/>
  <c r="AD84" i="4"/>
  <c r="AD46" i="4"/>
  <c r="AD93" i="4" l="1"/>
  <c r="AD18" i="5" s="1"/>
  <c r="AD19" i="5" s="1"/>
  <c r="AD48" i="4"/>
  <c r="AD95" i="4" s="1"/>
  <c r="J751" i="3"/>
  <c r="J583" i="3"/>
  <c r="J463" i="3"/>
  <c r="AD141" i="4"/>
  <c r="G14" i="1"/>
  <c r="G36" i="1" s="1"/>
  <c r="AD10" i="5"/>
  <c r="G13" i="1" s="1"/>
  <c r="H30" i="1" s="1"/>
  <c r="AD143" i="4"/>
  <c r="AE133" i="4"/>
  <c r="AD130" i="4"/>
  <c r="AD118" i="4"/>
  <c r="J164" i="3"/>
  <c r="J304" i="3"/>
  <c r="J686" i="3" l="1"/>
  <c r="J688" i="3" s="1"/>
  <c r="J689" i="3" s="1"/>
  <c r="J744" i="3"/>
  <c r="J602" i="3"/>
  <c r="J604" i="3" s="1"/>
  <c r="J605" i="3" s="1"/>
  <c r="J649" i="3"/>
  <c r="J651" i="3" s="1"/>
  <c r="J652" i="3" s="1"/>
  <c r="J586" i="3"/>
  <c r="J623" i="3"/>
  <c r="J625" i="3" s="1"/>
  <c r="J626" i="3" s="1"/>
  <c r="J585" i="3"/>
  <c r="J588" i="3" s="1"/>
  <c r="AE41" i="4"/>
  <c r="AE88" i="4" s="1"/>
  <c r="J743" i="3"/>
  <c r="J483" i="3"/>
  <c r="J485" i="3" s="1"/>
  <c r="J486" i="3" s="1"/>
  <c r="J508" i="3"/>
  <c r="J510" i="3" s="1"/>
  <c r="J511" i="3" s="1"/>
  <c r="J537" i="3"/>
  <c r="J539" i="3" s="1"/>
  <c r="J540" i="3" s="1"/>
  <c r="J466" i="3"/>
  <c r="J465" i="3"/>
  <c r="J468" i="3" s="1"/>
  <c r="J732" i="3"/>
  <c r="J377" i="3"/>
  <c r="J379" i="3" s="1"/>
  <c r="J380" i="3" s="1"/>
  <c r="J307" i="3"/>
  <c r="J309" i="3" s="1"/>
  <c r="J800" i="3" s="1"/>
  <c r="J306" i="3"/>
  <c r="J348" i="3"/>
  <c r="J350" i="3" s="1"/>
  <c r="J351" i="3" s="1"/>
  <c r="J324" i="3"/>
  <c r="J326" i="3" s="1"/>
  <c r="J327" i="3" s="1"/>
  <c r="J417" i="3"/>
  <c r="J419" i="3" s="1"/>
  <c r="J420" i="3" s="1"/>
  <c r="H27" i="1"/>
  <c r="H28" i="1" s="1"/>
  <c r="J731" i="3"/>
  <c r="J260" i="3"/>
  <c r="J262" i="3" s="1"/>
  <c r="J200" i="3"/>
  <c r="J202" i="3" s="1"/>
  <c r="J178" i="3"/>
  <c r="J180" i="3" s="1"/>
  <c r="J166" i="3"/>
  <c r="J227" i="3"/>
  <c r="J229" i="3" s="1"/>
  <c r="J789" i="3" l="1"/>
  <c r="J791" i="3" s="1"/>
  <c r="J295" i="3"/>
  <c r="J293" i="3"/>
  <c r="J291" i="3"/>
  <c r="J289" i="3"/>
  <c r="J287" i="3"/>
  <c r="J285" i="3"/>
  <c r="J283" i="3"/>
  <c r="J281" i="3"/>
  <c r="J279" i="3"/>
  <c r="J277" i="3"/>
  <c r="J275" i="3"/>
  <c r="J273" i="3"/>
  <c r="J271" i="3"/>
  <c r="J269" i="3"/>
  <c r="J267" i="3"/>
  <c r="K298" i="3" s="1"/>
  <c r="J296" i="3"/>
  <c r="J292" i="3"/>
  <c r="J288" i="3"/>
  <c r="J284" i="3"/>
  <c r="J280" i="3"/>
  <c r="J276" i="3"/>
  <c r="J272" i="3"/>
  <c r="J268" i="3"/>
  <c r="J290" i="3"/>
  <c r="J282" i="3"/>
  <c r="J274" i="3"/>
  <c r="J294" i="3"/>
  <c r="J286" i="3"/>
  <c r="J278" i="3"/>
  <c r="J270" i="3"/>
  <c r="J752" i="3"/>
  <c r="J612" i="3"/>
  <c r="J610" i="3"/>
  <c r="J606" i="3"/>
  <c r="J611" i="3"/>
  <c r="J613" i="3"/>
  <c r="J609" i="3"/>
  <c r="K615" i="3" s="1"/>
  <c r="O593" i="3"/>
  <c r="O594" i="3" s="1"/>
  <c r="J753" i="3"/>
  <c r="J247" i="3"/>
  <c r="J245" i="3"/>
  <c r="J243" i="3"/>
  <c r="J241" i="3"/>
  <c r="J239" i="3"/>
  <c r="J237" i="3"/>
  <c r="J235" i="3"/>
  <c r="J248" i="3"/>
  <c r="J244" i="3"/>
  <c r="J240" i="3"/>
  <c r="J236" i="3"/>
  <c r="J246" i="3"/>
  <c r="J242" i="3"/>
  <c r="J238" i="3"/>
  <c r="J234" i="3"/>
  <c r="K250" i="3" s="1"/>
  <c r="J455" i="3"/>
  <c r="J453" i="3"/>
  <c r="J451" i="3"/>
  <c r="J449" i="3"/>
  <c r="J447" i="3"/>
  <c r="J445" i="3"/>
  <c r="J443" i="3"/>
  <c r="J441" i="3"/>
  <c r="J439" i="3"/>
  <c r="J437" i="3"/>
  <c r="J435" i="3"/>
  <c r="J433" i="3"/>
  <c r="J431" i="3"/>
  <c r="J429" i="3"/>
  <c r="J427" i="3"/>
  <c r="J454" i="3"/>
  <c r="J450" i="3"/>
  <c r="J446" i="3"/>
  <c r="J442" i="3"/>
  <c r="J438" i="3"/>
  <c r="J434" i="3"/>
  <c r="J430" i="3"/>
  <c r="J426" i="3"/>
  <c r="K457" i="3" s="1"/>
  <c r="J448" i="3"/>
  <c r="J440" i="3"/>
  <c r="J432" i="3"/>
  <c r="J421" i="3"/>
  <c r="J452" i="3"/>
  <c r="J444" i="3"/>
  <c r="J436" i="3"/>
  <c r="J428" i="3"/>
  <c r="J802" i="3"/>
  <c r="J796" i="3"/>
  <c r="J404" i="3"/>
  <c r="J402" i="3"/>
  <c r="J400" i="3"/>
  <c r="J398" i="3"/>
  <c r="J396" i="3"/>
  <c r="J394" i="3"/>
  <c r="J392" i="3"/>
  <c r="J390" i="3"/>
  <c r="J388" i="3"/>
  <c r="J386" i="3"/>
  <c r="K407" i="3" s="1"/>
  <c r="J381" i="3"/>
  <c r="J405" i="3"/>
  <c r="J401" i="3"/>
  <c r="J397" i="3"/>
  <c r="J393" i="3"/>
  <c r="J389" i="3"/>
  <c r="J399" i="3"/>
  <c r="J391" i="3"/>
  <c r="J403" i="3"/>
  <c r="J395" i="3"/>
  <c r="J387" i="3"/>
  <c r="J690" i="3"/>
  <c r="J716" i="3"/>
  <c r="J700" i="3"/>
  <c r="J703" i="3"/>
  <c r="J701" i="3"/>
  <c r="J714" i="3"/>
  <c r="J698" i="3"/>
  <c r="J699" i="3"/>
  <c r="J693" i="3"/>
  <c r="K724" i="3" s="1"/>
  <c r="J707" i="3"/>
  <c r="J712" i="3"/>
  <c r="J696" i="3"/>
  <c r="J695" i="3"/>
  <c r="J709" i="3"/>
  <c r="J710" i="3"/>
  <c r="J694" i="3"/>
  <c r="J721" i="3"/>
  <c r="J708" i="3"/>
  <c r="J719" i="3"/>
  <c r="J713" i="3"/>
  <c r="J718" i="3"/>
  <c r="J717" i="3"/>
  <c r="J722" i="3"/>
  <c r="J706" i="3"/>
  <c r="J715" i="3"/>
  <c r="J705" i="3"/>
  <c r="J720" i="3"/>
  <c r="J704" i="3"/>
  <c r="J711" i="3"/>
  <c r="J697" i="3"/>
  <c r="J702" i="3"/>
  <c r="J336" i="3"/>
  <c r="J334" i="3"/>
  <c r="J335" i="3"/>
  <c r="J328" i="3"/>
  <c r="J337" i="3"/>
  <c r="J333" i="3"/>
  <c r="K339" i="3" s="1"/>
  <c r="O314" i="3"/>
  <c r="K312" i="3"/>
  <c r="K313" i="3" s="1"/>
  <c r="K134" i="3" s="1"/>
  <c r="J574" i="3"/>
  <c r="J572" i="3"/>
  <c r="J570" i="3"/>
  <c r="J568" i="3"/>
  <c r="J566" i="3"/>
  <c r="J564" i="3"/>
  <c r="J562" i="3"/>
  <c r="J560" i="3"/>
  <c r="J558" i="3"/>
  <c r="J556" i="3"/>
  <c r="J554" i="3"/>
  <c r="J552" i="3"/>
  <c r="J550" i="3"/>
  <c r="J548" i="3"/>
  <c r="J546" i="3"/>
  <c r="K577" i="3" s="1"/>
  <c r="J573" i="3"/>
  <c r="J569" i="3"/>
  <c r="J565" i="3"/>
  <c r="J561" i="3"/>
  <c r="J557" i="3"/>
  <c r="J553" i="3"/>
  <c r="J549" i="3"/>
  <c r="J575" i="3"/>
  <c r="J571" i="3"/>
  <c r="J567" i="3"/>
  <c r="J563" i="3"/>
  <c r="J559" i="3"/>
  <c r="J555" i="3"/>
  <c r="J551" i="3"/>
  <c r="J547" i="3"/>
  <c r="J541" i="3"/>
  <c r="J740" i="3"/>
  <c r="J730" i="3"/>
  <c r="J189" i="3"/>
  <c r="J187" i="3"/>
  <c r="J185" i="3"/>
  <c r="K191" i="3" s="1"/>
  <c r="J186" i="3"/>
  <c r="J188" i="3"/>
  <c r="N169" i="3"/>
  <c r="J366" i="3"/>
  <c r="J364" i="3"/>
  <c r="J362" i="3"/>
  <c r="J360" i="3"/>
  <c r="J358" i="3"/>
  <c r="J363" i="3"/>
  <c r="J359" i="3"/>
  <c r="J352" i="3"/>
  <c r="J361" i="3"/>
  <c r="J365" i="3"/>
  <c r="J357" i="3"/>
  <c r="K368" i="3" s="1"/>
  <c r="J526" i="3"/>
  <c r="J524" i="3"/>
  <c r="J522" i="3"/>
  <c r="J520" i="3"/>
  <c r="J518" i="3"/>
  <c r="J525" i="3"/>
  <c r="J521" i="3"/>
  <c r="J517" i="3"/>
  <c r="K528" i="3" s="1"/>
  <c r="J523" i="3"/>
  <c r="J519" i="3"/>
  <c r="J512" i="3"/>
  <c r="J638" i="3"/>
  <c r="J636" i="3"/>
  <c r="J634" i="3"/>
  <c r="J632" i="3"/>
  <c r="J630" i="3"/>
  <c r="K641" i="3" s="1"/>
  <c r="J639" i="3"/>
  <c r="J635" i="3"/>
  <c r="J631" i="3"/>
  <c r="J633" i="3"/>
  <c r="J627" i="3"/>
  <c r="J637" i="3"/>
  <c r="J674" i="3"/>
  <c r="J672" i="3"/>
  <c r="J670" i="3"/>
  <c r="J675" i="3"/>
  <c r="J668" i="3"/>
  <c r="J666" i="3"/>
  <c r="J664" i="3"/>
  <c r="J662" i="3"/>
  <c r="J660" i="3"/>
  <c r="J658" i="3"/>
  <c r="J656" i="3"/>
  <c r="K677" i="3" s="1"/>
  <c r="J665" i="3"/>
  <c r="J661" i="3"/>
  <c r="J657" i="3"/>
  <c r="J667" i="3"/>
  <c r="J663" i="3"/>
  <c r="J659" i="3"/>
  <c r="J653" i="3"/>
  <c r="J671" i="3"/>
  <c r="J669" i="3"/>
  <c r="J673" i="3"/>
  <c r="J741" i="3"/>
  <c r="J215" i="3"/>
  <c r="J213" i="3"/>
  <c r="J211" i="3"/>
  <c r="J209" i="3"/>
  <c r="J207" i="3"/>
  <c r="K218" i="3" s="1"/>
  <c r="J216" i="3"/>
  <c r="J212" i="3"/>
  <c r="J208" i="3"/>
  <c r="J214" i="3"/>
  <c r="J210" i="3"/>
  <c r="J496" i="3"/>
  <c r="J494" i="3"/>
  <c r="J492" i="3"/>
  <c r="K498" i="3" s="1"/>
  <c r="J487" i="3"/>
  <c r="J493" i="3"/>
  <c r="J495" i="3"/>
  <c r="O473" i="3"/>
  <c r="J785" i="3" l="1"/>
  <c r="J514" i="3"/>
  <c r="J781" i="3"/>
  <c r="J787" i="3"/>
  <c r="K167" i="3"/>
  <c r="K757" i="3" s="1"/>
  <c r="J264" i="3"/>
  <c r="J204" i="3"/>
  <c r="J383" i="3"/>
  <c r="N737" i="3"/>
  <c r="N141" i="3"/>
  <c r="J739" i="3"/>
  <c r="J776" i="3"/>
  <c r="J330" i="3"/>
  <c r="O750" i="3"/>
  <c r="O147" i="3"/>
  <c r="J182" i="3"/>
  <c r="K590" i="3"/>
  <c r="J489" i="3"/>
  <c r="K764" i="3"/>
  <c r="K132" i="3"/>
  <c r="J777" i="3"/>
  <c r="J798" i="3"/>
  <c r="O801" i="3"/>
  <c r="O315" i="3"/>
  <c r="K470" i="3"/>
  <c r="J354" i="3"/>
  <c r="K310" i="3"/>
  <c r="K758" i="3" s="1"/>
  <c r="O790" i="3"/>
  <c r="O474" i="3"/>
  <c r="J543" i="3"/>
  <c r="J423" i="3"/>
  <c r="J231" i="3"/>
  <c r="J475" i="3" l="1"/>
  <c r="O738" i="3"/>
  <c r="O142" i="3"/>
  <c r="K765" i="3"/>
  <c r="J316" i="3"/>
  <c r="J761" i="3" s="1"/>
  <c r="K768" i="3"/>
  <c r="K471" i="3"/>
  <c r="K128" i="3"/>
  <c r="AE40" i="4"/>
  <c r="J782" i="3"/>
  <c r="J775" i="3"/>
  <c r="K769" i="3"/>
  <c r="K591" i="3"/>
  <c r="N140" i="3"/>
  <c r="K131" i="3"/>
  <c r="O749" i="3"/>
  <c r="O146" i="3"/>
  <c r="J170" i="3"/>
  <c r="J760" i="3" s="1"/>
  <c r="N736" i="3"/>
  <c r="K767" i="3" l="1"/>
  <c r="K126" i="3"/>
  <c r="J779" i="3"/>
  <c r="K129" i="3"/>
  <c r="AF35" i="4"/>
  <c r="AI43" i="4"/>
  <c r="J759" i="3"/>
  <c r="O145" i="3"/>
  <c r="AE13" i="4"/>
  <c r="K756" i="3"/>
  <c r="AE87" i="4"/>
  <c r="AE89" i="4" s="1"/>
  <c r="AE42" i="4"/>
  <c r="AF82" i="4" l="1"/>
  <c r="K125" i="3"/>
  <c r="AE34" i="4"/>
  <c r="AE81" i="4" s="1"/>
  <c r="J762" i="3"/>
  <c r="AE12" i="4"/>
  <c r="AI90" i="4"/>
  <c r="AI45" i="4"/>
  <c r="AJ44" i="4"/>
  <c r="AJ91" i="4" s="1"/>
  <c r="O748" i="3"/>
  <c r="AE60" i="4"/>
  <c r="AE10" i="4"/>
  <c r="K770" i="3"/>
  <c r="AE32" i="4" l="1"/>
  <c r="AI16" i="5"/>
  <c r="AI92" i="4"/>
  <c r="K135" i="3"/>
  <c r="AF36" i="4"/>
  <c r="AE57" i="4"/>
  <c r="AE8" i="5" s="1"/>
  <c r="AE26" i="4"/>
  <c r="AE9" i="4"/>
  <c r="AE11" i="4"/>
  <c r="AE59" i="4"/>
  <c r="AE8" i="4"/>
  <c r="AE58" i="4" l="1"/>
  <c r="K137" i="3"/>
  <c r="AE56" i="4"/>
  <c r="AE24" i="4"/>
  <c r="AE7" i="4"/>
  <c r="AE54" i="4" s="1"/>
  <c r="AE73" i="4"/>
  <c r="AE55" i="4"/>
  <c r="AE7" i="5" s="1"/>
  <c r="AE25" i="4"/>
  <c r="AE6" i="4"/>
  <c r="AE53" i="4" s="1"/>
  <c r="AE6" i="5" s="1"/>
  <c r="AF125" i="4"/>
  <c r="AF83" i="4"/>
  <c r="K792" i="3"/>
  <c r="AE79" i="4"/>
  <c r="AE123" i="4"/>
  <c r="AE33" i="4"/>
  <c r="AE80" i="4" s="1"/>
  <c r="AE31" i="4"/>
  <c r="AE124" i="4" l="1"/>
  <c r="AE78" i="4"/>
  <c r="AE37" i="4"/>
  <c r="AE12" i="5"/>
  <c r="AE72" i="4"/>
  <c r="AE23" i="4"/>
  <c r="AE70" i="4" s="1"/>
  <c r="K160" i="3"/>
  <c r="K144" i="3"/>
  <c r="K139" i="3"/>
  <c r="AE22" i="4"/>
  <c r="AE71" i="4"/>
  <c r="AE11" i="5" s="1"/>
  <c r="AE69" i="4" l="1"/>
  <c r="H12" i="1"/>
  <c r="K742" i="3"/>
  <c r="K143" i="3"/>
  <c r="AE127" i="4"/>
  <c r="AE84" i="4"/>
  <c r="AE126" i="4"/>
  <c r="AE46" i="4"/>
  <c r="K138" i="3"/>
  <c r="K583" i="3" l="1"/>
  <c r="K463" i="3"/>
  <c r="K751" i="3"/>
  <c r="AE93" i="4"/>
  <c r="AE18" i="5" s="1"/>
  <c r="AE19" i="5" s="1"/>
  <c r="AE48" i="4"/>
  <c r="AE95" i="4" s="1"/>
  <c r="K164" i="3"/>
  <c r="K304" i="3"/>
  <c r="AE141" i="4"/>
  <c r="H14" i="1"/>
  <c r="H36" i="1" s="1"/>
  <c r="AE10" i="5"/>
  <c r="H13" i="1" s="1"/>
  <c r="I30" i="1" s="1"/>
  <c r="AE143" i="4"/>
  <c r="AF133" i="4"/>
  <c r="AE130" i="4"/>
  <c r="AE118" i="4"/>
  <c r="AF41" i="4" l="1"/>
  <c r="AF88" i="4" s="1"/>
  <c r="I27" i="1"/>
  <c r="I28" i="1" s="1"/>
  <c r="K732" i="3"/>
  <c r="K377" i="3"/>
  <c r="K379" i="3" s="1"/>
  <c r="K380" i="3" s="1"/>
  <c r="K307" i="3"/>
  <c r="K309" i="3" s="1"/>
  <c r="K800" i="3" s="1"/>
  <c r="K348" i="3"/>
  <c r="K350" i="3" s="1"/>
  <c r="K351" i="3" s="1"/>
  <c r="K324" i="3"/>
  <c r="K326" i="3" s="1"/>
  <c r="K327" i="3" s="1"/>
  <c r="K417" i="3"/>
  <c r="K419" i="3" s="1"/>
  <c r="K420" i="3" s="1"/>
  <c r="K306" i="3"/>
  <c r="K686" i="3"/>
  <c r="K688" i="3" s="1"/>
  <c r="K689" i="3" s="1"/>
  <c r="K649" i="3"/>
  <c r="K651" i="3" s="1"/>
  <c r="K652" i="3" s="1"/>
  <c r="K623" i="3"/>
  <c r="K625" i="3" s="1"/>
  <c r="K626" i="3" s="1"/>
  <c r="K744" i="3"/>
  <c r="K602" i="3"/>
  <c r="K604" i="3" s="1"/>
  <c r="K605" i="3" s="1"/>
  <c r="K586" i="3"/>
  <c r="K585" i="3"/>
  <c r="K588" i="3" s="1"/>
  <c r="K743" i="3"/>
  <c r="K483" i="3"/>
  <c r="K485" i="3" s="1"/>
  <c r="K486" i="3" s="1"/>
  <c r="K537" i="3"/>
  <c r="K539" i="3" s="1"/>
  <c r="K540" i="3" s="1"/>
  <c r="K508" i="3"/>
  <c r="K510" i="3" s="1"/>
  <c r="K511" i="3" s="1"/>
  <c r="K466" i="3"/>
  <c r="K465" i="3"/>
  <c r="K468" i="3" s="1"/>
  <c r="K731" i="3"/>
  <c r="K260" i="3"/>
  <c r="K262" i="3" s="1"/>
  <c r="K200" i="3"/>
  <c r="K202" i="3" s="1"/>
  <c r="K178" i="3"/>
  <c r="K180" i="3" s="1"/>
  <c r="K166" i="3"/>
  <c r="K227" i="3"/>
  <c r="K229" i="3" s="1"/>
  <c r="K789" i="3" l="1"/>
  <c r="K785" i="3" s="1"/>
  <c r="K802" i="3"/>
  <c r="K796" i="3"/>
  <c r="K404" i="3"/>
  <c r="K402" i="3"/>
  <c r="K400" i="3"/>
  <c r="K398" i="3"/>
  <c r="K396" i="3"/>
  <c r="K394" i="3"/>
  <c r="K392" i="3"/>
  <c r="K390" i="3"/>
  <c r="K388" i="3"/>
  <c r="K386" i="3"/>
  <c r="L407" i="3" s="1"/>
  <c r="K381" i="3"/>
  <c r="K403" i="3"/>
  <c r="K399" i="3"/>
  <c r="K395" i="3"/>
  <c r="K391" i="3"/>
  <c r="K387" i="3"/>
  <c r="K405" i="3"/>
  <c r="K397" i="3"/>
  <c r="K389" i="3"/>
  <c r="K401" i="3"/>
  <c r="K393" i="3"/>
  <c r="K574" i="3"/>
  <c r="K572" i="3"/>
  <c r="K570" i="3"/>
  <c r="K568" i="3"/>
  <c r="K566" i="3"/>
  <c r="K564" i="3"/>
  <c r="K562" i="3"/>
  <c r="K560" i="3"/>
  <c r="K558" i="3"/>
  <c r="K556" i="3"/>
  <c r="K554" i="3"/>
  <c r="K552" i="3"/>
  <c r="K550" i="3"/>
  <c r="K548" i="3"/>
  <c r="K546" i="3"/>
  <c r="L577" i="3" s="1"/>
  <c r="K541" i="3"/>
  <c r="K573" i="3"/>
  <c r="K569" i="3"/>
  <c r="K565" i="3"/>
  <c r="K561" i="3"/>
  <c r="K557" i="3"/>
  <c r="K553" i="3"/>
  <c r="K549" i="3"/>
  <c r="K575" i="3"/>
  <c r="K571" i="3"/>
  <c r="K567" i="3"/>
  <c r="K563" i="3"/>
  <c r="K559" i="3"/>
  <c r="K555" i="3"/>
  <c r="K551" i="3"/>
  <c r="K547" i="3"/>
  <c r="K740" i="3"/>
  <c r="K730" i="3"/>
  <c r="K336" i="3"/>
  <c r="K334" i="3"/>
  <c r="K335" i="3"/>
  <c r="K328" i="3"/>
  <c r="K337" i="3"/>
  <c r="K333" i="3"/>
  <c r="L339" i="3" s="1"/>
  <c r="P314" i="3"/>
  <c r="L312" i="3"/>
  <c r="L313" i="3" s="1"/>
  <c r="L134" i="3" s="1"/>
  <c r="K613" i="3"/>
  <c r="K611" i="3"/>
  <c r="K609" i="3"/>
  <c r="L615" i="3" s="1"/>
  <c r="K610" i="3"/>
  <c r="K612" i="3"/>
  <c r="K606" i="3"/>
  <c r="P593" i="3"/>
  <c r="P594" i="3" s="1"/>
  <c r="K753" i="3"/>
  <c r="K247" i="3"/>
  <c r="K245" i="3"/>
  <c r="K243" i="3"/>
  <c r="K241" i="3"/>
  <c r="K239" i="3"/>
  <c r="K237" i="3"/>
  <c r="K235" i="3"/>
  <c r="K248" i="3"/>
  <c r="K244" i="3"/>
  <c r="K240" i="3"/>
  <c r="K236" i="3"/>
  <c r="K246" i="3"/>
  <c r="K242" i="3"/>
  <c r="K238" i="3"/>
  <c r="K234" i="3"/>
  <c r="L250" i="3" s="1"/>
  <c r="K639" i="3"/>
  <c r="K637" i="3"/>
  <c r="K635" i="3"/>
  <c r="K633" i="3"/>
  <c r="K631" i="3"/>
  <c r="K627" i="3"/>
  <c r="K634" i="3"/>
  <c r="K636" i="3"/>
  <c r="K630" i="3"/>
  <c r="L641" i="3" s="1"/>
  <c r="K638" i="3"/>
  <c r="K632" i="3"/>
  <c r="K674" i="3"/>
  <c r="K672" i="3"/>
  <c r="K670" i="3"/>
  <c r="K667" i="3"/>
  <c r="K665" i="3"/>
  <c r="K663" i="3"/>
  <c r="K661" i="3"/>
  <c r="K659" i="3"/>
  <c r="K657" i="3"/>
  <c r="K653" i="3"/>
  <c r="K668" i="3"/>
  <c r="K664" i="3"/>
  <c r="K660" i="3"/>
  <c r="K656" i="3"/>
  <c r="L677" i="3" s="1"/>
  <c r="K669" i="3"/>
  <c r="K675" i="3"/>
  <c r="K662" i="3"/>
  <c r="K673" i="3"/>
  <c r="K666" i="3"/>
  <c r="K671" i="3"/>
  <c r="K658" i="3"/>
  <c r="K189" i="3"/>
  <c r="K187" i="3"/>
  <c r="K185" i="3"/>
  <c r="L191" i="3" s="1"/>
  <c r="K188" i="3"/>
  <c r="K186" i="3"/>
  <c r="O169" i="3"/>
  <c r="K487" i="3"/>
  <c r="K495" i="3"/>
  <c r="K493" i="3"/>
  <c r="K496" i="3"/>
  <c r="K492" i="3"/>
  <c r="L498" i="3" s="1"/>
  <c r="K494" i="3"/>
  <c r="P473" i="3"/>
  <c r="K690" i="3"/>
  <c r="K716" i="3"/>
  <c r="K700" i="3"/>
  <c r="K703" i="3"/>
  <c r="K701" i="3"/>
  <c r="K714" i="3"/>
  <c r="K699" i="3"/>
  <c r="K693" i="3"/>
  <c r="L724" i="3" s="1"/>
  <c r="K698" i="3"/>
  <c r="K712" i="3"/>
  <c r="K695" i="3"/>
  <c r="K709" i="3"/>
  <c r="K696" i="3"/>
  <c r="K710" i="3"/>
  <c r="K694" i="3"/>
  <c r="K721" i="3"/>
  <c r="K708" i="3"/>
  <c r="K719" i="3"/>
  <c r="K713" i="3"/>
  <c r="K722" i="3"/>
  <c r="K706" i="3"/>
  <c r="K715" i="3"/>
  <c r="K705" i="3"/>
  <c r="K720" i="3"/>
  <c r="K704" i="3"/>
  <c r="K711" i="3"/>
  <c r="K697" i="3"/>
  <c r="K718" i="3"/>
  <c r="K702" i="3"/>
  <c r="K707" i="3"/>
  <c r="K717" i="3"/>
  <c r="K741" i="3"/>
  <c r="K215" i="3"/>
  <c r="K213" i="3"/>
  <c r="K211" i="3"/>
  <c r="K209" i="3"/>
  <c r="K207" i="3"/>
  <c r="L218" i="3" s="1"/>
  <c r="K216" i="3"/>
  <c r="K212" i="3"/>
  <c r="K208" i="3"/>
  <c r="K210" i="3"/>
  <c r="K214" i="3"/>
  <c r="K752" i="3"/>
  <c r="K791" i="3"/>
  <c r="K366" i="3"/>
  <c r="K364" i="3"/>
  <c r="K362" i="3"/>
  <c r="K360" i="3"/>
  <c r="K358" i="3"/>
  <c r="K363" i="3"/>
  <c r="K359" i="3"/>
  <c r="K352" i="3"/>
  <c r="K365" i="3"/>
  <c r="K357" i="3"/>
  <c r="L368" i="3" s="1"/>
  <c r="K361" i="3"/>
  <c r="K525" i="3"/>
  <c r="K523" i="3"/>
  <c r="K521" i="3"/>
  <c r="K519" i="3"/>
  <c r="K517" i="3"/>
  <c r="L528" i="3" s="1"/>
  <c r="K512" i="3"/>
  <c r="K526" i="3"/>
  <c r="K522" i="3"/>
  <c r="K518" i="3"/>
  <c r="K524" i="3"/>
  <c r="K520" i="3"/>
  <c r="K295" i="3"/>
  <c r="K293" i="3"/>
  <c r="K291" i="3"/>
  <c r="K289" i="3"/>
  <c r="K287" i="3"/>
  <c r="K285" i="3"/>
  <c r="K283" i="3"/>
  <c r="K281" i="3"/>
  <c r="K279" i="3"/>
  <c r="K277" i="3"/>
  <c r="K275" i="3"/>
  <c r="K273" i="3"/>
  <c r="K271" i="3"/>
  <c r="K269" i="3"/>
  <c r="K267" i="3"/>
  <c r="L298" i="3" s="1"/>
  <c r="K294" i="3"/>
  <c r="K290" i="3"/>
  <c r="K286" i="3"/>
  <c r="K282" i="3"/>
  <c r="K278" i="3"/>
  <c r="K274" i="3"/>
  <c r="K270" i="3"/>
  <c r="K296" i="3"/>
  <c r="K288" i="3"/>
  <c r="K280" i="3"/>
  <c r="K272" i="3"/>
  <c r="K292" i="3"/>
  <c r="K284" i="3"/>
  <c r="K276" i="3"/>
  <c r="K268" i="3"/>
  <c r="K455" i="3"/>
  <c r="K453" i="3"/>
  <c r="K451" i="3"/>
  <c r="K449" i="3"/>
  <c r="K447" i="3"/>
  <c r="K445" i="3"/>
  <c r="K443" i="3"/>
  <c r="K441" i="3"/>
  <c r="K439" i="3"/>
  <c r="K437" i="3"/>
  <c r="K435" i="3"/>
  <c r="K433" i="3"/>
  <c r="K431" i="3"/>
  <c r="K429" i="3"/>
  <c r="K427" i="3"/>
  <c r="K452" i="3"/>
  <c r="K448" i="3"/>
  <c r="K444" i="3"/>
  <c r="K440" i="3"/>
  <c r="K436" i="3"/>
  <c r="K432" i="3"/>
  <c r="K428" i="3"/>
  <c r="K421" i="3"/>
  <c r="K454" i="3"/>
  <c r="K446" i="3"/>
  <c r="K438" i="3"/>
  <c r="K430" i="3"/>
  <c r="K450" i="3"/>
  <c r="K442" i="3"/>
  <c r="K434" i="3"/>
  <c r="K426" i="3"/>
  <c r="L457" i="3" s="1"/>
  <c r="K330" i="3" l="1"/>
  <c r="K231" i="3"/>
  <c r="K182" i="3"/>
  <c r="P750" i="3"/>
  <c r="P147" i="3"/>
  <c r="K423" i="3"/>
  <c r="K264" i="3"/>
  <c r="K489" i="3"/>
  <c r="L310" i="3"/>
  <c r="L758" i="3" s="1"/>
  <c r="K739" i="3"/>
  <c r="K776" i="3"/>
  <c r="K543" i="3"/>
  <c r="K383" i="3"/>
  <c r="P790" i="3"/>
  <c r="P474" i="3"/>
  <c r="L764" i="3"/>
  <c r="L132" i="3"/>
  <c r="K777" i="3"/>
  <c r="K798" i="3"/>
  <c r="O737" i="3"/>
  <c r="O141" i="3"/>
  <c r="K781" i="3"/>
  <c r="K787" i="3"/>
  <c r="K204" i="3"/>
  <c r="K514" i="3"/>
  <c r="K354" i="3"/>
  <c r="L470" i="3"/>
  <c r="L167" i="3"/>
  <c r="L757" i="3" s="1"/>
  <c r="L590" i="3"/>
  <c r="P801" i="3"/>
  <c r="P315" i="3"/>
  <c r="K316" i="3" l="1"/>
  <c r="K761" i="3" s="1"/>
  <c r="K475" i="3"/>
  <c r="K170" i="3"/>
  <c r="K760" i="3" s="1"/>
  <c r="K759" i="3" s="1"/>
  <c r="O140" i="3"/>
  <c r="L765" i="3"/>
  <c r="AF40" i="4"/>
  <c r="O736" i="3"/>
  <c r="P749" i="3"/>
  <c r="P146" i="3"/>
  <c r="P738" i="3"/>
  <c r="P142" i="3"/>
  <c r="L769" i="3"/>
  <c r="L591" i="3"/>
  <c r="K775" i="3"/>
  <c r="L768" i="3"/>
  <c r="L471" i="3"/>
  <c r="L128" i="3"/>
  <c r="K782" i="3"/>
  <c r="L131" i="3"/>
  <c r="AF13" i="4" l="1"/>
  <c r="L756" i="3"/>
  <c r="AF87" i="4"/>
  <c r="AF89" i="4" s="1"/>
  <c r="AF42" i="4"/>
  <c r="AG35" i="4"/>
  <c r="K779" i="3"/>
  <c r="L767" i="3"/>
  <c r="L126" i="3"/>
  <c r="P145" i="3"/>
  <c r="AJ43" i="4"/>
  <c r="L129" i="3"/>
  <c r="AF34" i="4"/>
  <c r="AF81" i="4" s="1"/>
  <c r="K762" i="3"/>
  <c r="AF32" i="4" l="1"/>
  <c r="AG82" i="4"/>
  <c r="L125" i="3"/>
  <c r="L770" i="3"/>
  <c r="AF12" i="4"/>
  <c r="AJ90" i="4"/>
  <c r="AJ45" i="4"/>
  <c r="AK44" i="4"/>
  <c r="AK91" i="4" s="1"/>
  <c r="P748" i="3"/>
  <c r="AF60" i="4"/>
  <c r="AF10" i="4"/>
  <c r="AF57" i="4" l="1"/>
  <c r="AF8" i="5" s="1"/>
  <c r="AF26" i="4"/>
  <c r="L135" i="3"/>
  <c r="AG36" i="4"/>
  <c r="AJ16" i="5"/>
  <c r="AJ92" i="4"/>
  <c r="AF8" i="4"/>
  <c r="AF11" i="4"/>
  <c r="AF59" i="4"/>
  <c r="AF9" i="4"/>
  <c r="AF79" i="4"/>
  <c r="AF123" i="4"/>
  <c r="AF33" i="4"/>
  <c r="AF80" i="4" s="1"/>
  <c r="AF31" i="4"/>
  <c r="L137" i="3" l="1"/>
  <c r="AF56" i="4"/>
  <c r="AF24" i="4"/>
  <c r="AF7" i="4"/>
  <c r="AF54" i="4" s="1"/>
  <c r="AF58" i="4"/>
  <c r="AF124" i="4"/>
  <c r="AF78" i="4"/>
  <c r="AF37" i="4"/>
  <c r="AF55" i="4"/>
  <c r="AF7" i="5" s="1"/>
  <c r="AF25" i="4"/>
  <c r="AF6" i="4"/>
  <c r="AF53" i="4" s="1"/>
  <c r="AF6" i="5" s="1"/>
  <c r="AF73" i="4"/>
  <c r="AG125" i="4"/>
  <c r="AG83" i="4"/>
  <c r="L792" i="3"/>
  <c r="L144" i="3" l="1"/>
  <c r="L160" i="3"/>
  <c r="L139" i="3"/>
  <c r="AF12" i="5"/>
  <c r="AF22" i="4"/>
  <c r="AF71" i="4"/>
  <c r="AF11" i="5" s="1"/>
  <c r="AF72" i="4"/>
  <c r="AF23" i="4"/>
  <c r="AF70" i="4" s="1"/>
  <c r="AF127" i="4"/>
  <c r="AF84" i="4"/>
  <c r="AF126" i="4"/>
  <c r="AF46" i="4"/>
  <c r="AF93" i="4" l="1"/>
  <c r="AF18" i="5" s="1"/>
  <c r="AF19" i="5" s="1"/>
  <c r="AF48" i="4"/>
  <c r="AF95" i="4" s="1"/>
  <c r="AF69" i="4"/>
  <c r="I12" i="1"/>
  <c r="AF141" i="4"/>
  <c r="I14" i="1"/>
  <c r="I36" i="1" s="1"/>
  <c r="L742" i="3"/>
  <c r="L143" i="3"/>
  <c r="L138" i="3"/>
  <c r="AF10" i="5" l="1"/>
  <c r="I13" i="1" s="1"/>
  <c r="J30" i="1" s="1"/>
  <c r="AG133" i="4"/>
  <c r="AF143" i="4"/>
  <c r="AF130" i="4"/>
  <c r="AF118" i="4"/>
  <c r="L751" i="3"/>
  <c r="L304" i="3"/>
  <c r="L164" i="3"/>
  <c r="L583" i="3"/>
  <c r="L463" i="3"/>
  <c r="L743" i="3" l="1"/>
  <c r="L537" i="3"/>
  <c r="L539" i="3" s="1"/>
  <c r="L540" i="3" s="1"/>
  <c r="L508" i="3"/>
  <c r="L510" i="3" s="1"/>
  <c r="L511" i="3" s="1"/>
  <c r="L466" i="3"/>
  <c r="L465" i="3"/>
  <c r="L468" i="3" s="1"/>
  <c r="L483" i="3"/>
  <c r="L485" i="3" s="1"/>
  <c r="L486" i="3" s="1"/>
  <c r="L649" i="3"/>
  <c r="L651" i="3" s="1"/>
  <c r="L652" i="3" s="1"/>
  <c r="L623" i="3"/>
  <c r="L625" i="3" s="1"/>
  <c r="L626" i="3" s="1"/>
  <c r="L586" i="3"/>
  <c r="L602" i="3"/>
  <c r="L604" i="3" s="1"/>
  <c r="L605" i="3" s="1"/>
  <c r="L585" i="3"/>
  <c r="L588" i="3" s="1"/>
  <c r="L744" i="3"/>
  <c r="L686" i="3"/>
  <c r="L688" i="3" s="1"/>
  <c r="L689" i="3" s="1"/>
  <c r="L731" i="3"/>
  <c r="L260" i="3"/>
  <c r="L262" i="3" s="1"/>
  <c r="L200" i="3"/>
  <c r="L202" i="3" s="1"/>
  <c r="L178" i="3"/>
  <c r="L180" i="3" s="1"/>
  <c r="L166" i="3"/>
  <c r="L227" i="3"/>
  <c r="L229" i="3" s="1"/>
  <c r="AG41" i="4"/>
  <c r="AG88" i="4" s="1"/>
  <c r="L732" i="3"/>
  <c r="L417" i="3"/>
  <c r="L419" i="3" s="1"/>
  <c r="L420" i="3" s="1"/>
  <c r="L348" i="3"/>
  <c r="L350" i="3" s="1"/>
  <c r="L351" i="3" s="1"/>
  <c r="L324" i="3"/>
  <c r="L326" i="3" s="1"/>
  <c r="L327" i="3" s="1"/>
  <c r="L306" i="3"/>
  <c r="L307" i="3"/>
  <c r="L309" i="3" s="1"/>
  <c r="L800" i="3" s="1"/>
  <c r="L377" i="3"/>
  <c r="L379" i="3" s="1"/>
  <c r="L380" i="3" s="1"/>
  <c r="J27" i="1"/>
  <c r="J28" i="1" s="1"/>
  <c r="L789" i="3" l="1"/>
  <c r="L791" i="3" s="1"/>
  <c r="L740" i="3"/>
  <c r="L730" i="3"/>
  <c r="L495" i="3"/>
  <c r="L493" i="3"/>
  <c r="L494" i="3"/>
  <c r="L487" i="3"/>
  <c r="L496" i="3"/>
  <c r="L492" i="3"/>
  <c r="M498" i="3" s="1"/>
  <c r="Q473" i="3"/>
  <c r="L802" i="3"/>
  <c r="L796" i="3"/>
  <c r="L337" i="3"/>
  <c r="L335" i="3"/>
  <c r="L333" i="3"/>
  <c r="M339" i="3" s="1"/>
  <c r="L328" i="3"/>
  <c r="L334" i="3"/>
  <c r="L336" i="3"/>
  <c r="Q314" i="3"/>
  <c r="M312" i="3"/>
  <c r="M313" i="3" s="1"/>
  <c r="M134" i="3" s="1"/>
  <c r="L753" i="3"/>
  <c r="L365" i="3"/>
  <c r="L363" i="3"/>
  <c r="L361" i="3"/>
  <c r="L359" i="3"/>
  <c r="L357" i="3"/>
  <c r="M368" i="3" s="1"/>
  <c r="L352" i="3"/>
  <c r="L366" i="3"/>
  <c r="L362" i="3"/>
  <c r="L358" i="3"/>
  <c r="L360" i="3"/>
  <c r="L364" i="3"/>
  <c r="L247" i="3"/>
  <c r="L245" i="3"/>
  <c r="L243" i="3"/>
  <c r="L241" i="3"/>
  <c r="L239" i="3"/>
  <c r="L237" i="3"/>
  <c r="L235" i="3"/>
  <c r="L248" i="3"/>
  <c r="L244" i="3"/>
  <c r="L240" i="3"/>
  <c r="L236" i="3"/>
  <c r="L246" i="3"/>
  <c r="L242" i="3"/>
  <c r="L238" i="3"/>
  <c r="L234" i="3"/>
  <c r="M250" i="3" s="1"/>
  <c r="L454" i="3"/>
  <c r="L452" i="3"/>
  <c r="L450" i="3"/>
  <c r="L448" i="3"/>
  <c r="L446" i="3"/>
  <c r="L444" i="3"/>
  <c r="L442" i="3"/>
  <c r="L440" i="3"/>
  <c r="L438" i="3"/>
  <c r="L436" i="3"/>
  <c r="L434" i="3"/>
  <c r="L432" i="3"/>
  <c r="L430" i="3"/>
  <c r="L428" i="3"/>
  <c r="L426" i="3"/>
  <c r="M457" i="3" s="1"/>
  <c r="L421" i="3"/>
  <c r="L455" i="3"/>
  <c r="L451" i="3"/>
  <c r="L447" i="3"/>
  <c r="L443" i="3"/>
  <c r="L439" i="3"/>
  <c r="L435" i="3"/>
  <c r="L431" i="3"/>
  <c r="L427" i="3"/>
  <c r="L449" i="3"/>
  <c r="L441" i="3"/>
  <c r="L433" i="3"/>
  <c r="L453" i="3"/>
  <c r="L445" i="3"/>
  <c r="L437" i="3"/>
  <c r="L429" i="3"/>
  <c r="L613" i="3"/>
  <c r="L611" i="3"/>
  <c r="L609" i="3"/>
  <c r="M615" i="3" s="1"/>
  <c r="L610" i="3"/>
  <c r="L612" i="3"/>
  <c r="L606" i="3"/>
  <c r="Q593" i="3"/>
  <c r="Q594" i="3" s="1"/>
  <c r="L574" i="3"/>
  <c r="L572" i="3"/>
  <c r="L570" i="3"/>
  <c r="L568" i="3"/>
  <c r="L566" i="3"/>
  <c r="L564" i="3"/>
  <c r="L562" i="3"/>
  <c r="L560" i="3"/>
  <c r="L558" i="3"/>
  <c r="L556" i="3"/>
  <c r="L554" i="3"/>
  <c r="L552" i="3"/>
  <c r="L550" i="3"/>
  <c r="L548" i="3"/>
  <c r="L546" i="3"/>
  <c r="M577" i="3" s="1"/>
  <c r="L541" i="3"/>
  <c r="L575" i="3"/>
  <c r="L571" i="3"/>
  <c r="L567" i="3"/>
  <c r="L563" i="3"/>
  <c r="L559" i="3"/>
  <c r="L555" i="3"/>
  <c r="L551" i="3"/>
  <c r="L547" i="3"/>
  <c r="L573" i="3"/>
  <c r="L569" i="3"/>
  <c r="L565" i="3"/>
  <c r="L561" i="3"/>
  <c r="L557" i="3"/>
  <c r="L553" i="3"/>
  <c r="L549" i="3"/>
  <c r="L690" i="3"/>
  <c r="L717" i="3"/>
  <c r="L701" i="3"/>
  <c r="L710" i="3"/>
  <c r="L700" i="3"/>
  <c r="L693" i="3"/>
  <c r="M724" i="3" s="1"/>
  <c r="L715" i="3"/>
  <c r="L699" i="3"/>
  <c r="L706" i="3"/>
  <c r="L704" i="3"/>
  <c r="L713" i="3"/>
  <c r="L697" i="3"/>
  <c r="L702" i="3"/>
  <c r="L720" i="3"/>
  <c r="L711" i="3"/>
  <c r="L695" i="3"/>
  <c r="L698" i="3"/>
  <c r="L708" i="3"/>
  <c r="L709" i="3"/>
  <c r="L694" i="3"/>
  <c r="L707" i="3"/>
  <c r="L722" i="3"/>
  <c r="L712" i="3"/>
  <c r="L721" i="3"/>
  <c r="L705" i="3"/>
  <c r="L718" i="3"/>
  <c r="L696" i="3"/>
  <c r="L719" i="3"/>
  <c r="L703" i="3"/>
  <c r="L714" i="3"/>
  <c r="L716" i="3"/>
  <c r="L525" i="3"/>
  <c r="L523" i="3"/>
  <c r="L521" i="3"/>
  <c r="L519" i="3"/>
  <c r="L517" i="3"/>
  <c r="M528" i="3" s="1"/>
  <c r="L512" i="3"/>
  <c r="L526" i="3"/>
  <c r="L522" i="3"/>
  <c r="L518" i="3"/>
  <c r="L524" i="3"/>
  <c r="L520" i="3"/>
  <c r="L741" i="3"/>
  <c r="L189" i="3"/>
  <c r="L187" i="3"/>
  <c r="L185" i="3"/>
  <c r="M191" i="3" s="1"/>
  <c r="L188" i="3"/>
  <c r="L186" i="3"/>
  <c r="P169" i="3"/>
  <c r="L752" i="3"/>
  <c r="L639" i="3"/>
  <c r="L637" i="3"/>
  <c r="L635" i="3"/>
  <c r="L633" i="3"/>
  <c r="L631" i="3"/>
  <c r="L627" i="3"/>
  <c r="L636" i="3"/>
  <c r="L632" i="3"/>
  <c r="L638" i="3"/>
  <c r="L634" i="3"/>
  <c r="L630" i="3"/>
  <c r="M641" i="3" s="1"/>
  <c r="L215" i="3"/>
  <c r="L213" i="3"/>
  <c r="L211" i="3"/>
  <c r="L209" i="3"/>
  <c r="L207" i="3"/>
  <c r="M218" i="3" s="1"/>
  <c r="L216" i="3"/>
  <c r="L212" i="3"/>
  <c r="L208" i="3"/>
  <c r="L214" i="3"/>
  <c r="L210" i="3"/>
  <c r="L405" i="3"/>
  <c r="L403" i="3"/>
  <c r="L401" i="3"/>
  <c r="L399" i="3"/>
  <c r="L397" i="3"/>
  <c r="L395" i="3"/>
  <c r="L393" i="3"/>
  <c r="L391" i="3"/>
  <c r="L389" i="3"/>
  <c r="L387" i="3"/>
  <c r="L402" i="3"/>
  <c r="L398" i="3"/>
  <c r="L394" i="3"/>
  <c r="L390" i="3"/>
  <c r="L386" i="3"/>
  <c r="M407" i="3" s="1"/>
  <c r="L404" i="3"/>
  <c r="L396" i="3"/>
  <c r="L388" i="3"/>
  <c r="L400" i="3"/>
  <c r="L392" i="3"/>
  <c r="L381" i="3"/>
  <c r="L295" i="3"/>
  <c r="L293" i="3"/>
  <c r="L291" i="3"/>
  <c r="L289" i="3"/>
  <c r="L287" i="3"/>
  <c r="L285" i="3"/>
  <c r="L283" i="3"/>
  <c r="L281" i="3"/>
  <c r="L279" i="3"/>
  <c r="L277" i="3"/>
  <c r="L275" i="3"/>
  <c r="L273" i="3"/>
  <c r="L271" i="3"/>
  <c r="L269" i="3"/>
  <c r="L267" i="3"/>
  <c r="M298" i="3" s="1"/>
  <c r="L294" i="3"/>
  <c r="L290" i="3"/>
  <c r="L286" i="3"/>
  <c r="L282" i="3"/>
  <c r="L278" i="3"/>
  <c r="L274" i="3"/>
  <c r="L270" i="3"/>
  <c r="L296" i="3"/>
  <c r="L288" i="3"/>
  <c r="L280" i="3"/>
  <c r="L272" i="3"/>
  <c r="L292" i="3"/>
  <c r="L284" i="3"/>
  <c r="L276" i="3"/>
  <c r="L268" i="3"/>
  <c r="L667" i="3"/>
  <c r="L665" i="3"/>
  <c r="L663" i="3"/>
  <c r="L661" i="3"/>
  <c r="L659" i="3"/>
  <c r="L657" i="3"/>
  <c r="L653" i="3"/>
  <c r="L669" i="3"/>
  <c r="L672" i="3"/>
  <c r="L668" i="3"/>
  <c r="L664" i="3"/>
  <c r="L660" i="3"/>
  <c r="L656" i="3"/>
  <c r="M677" i="3" s="1"/>
  <c r="L674" i="3"/>
  <c r="L671" i="3"/>
  <c r="L675" i="3"/>
  <c r="L662" i="3"/>
  <c r="L670" i="3"/>
  <c r="L673" i="3"/>
  <c r="L666" i="3"/>
  <c r="L658" i="3"/>
  <c r="L785" i="3" l="1"/>
  <c r="M167" i="3"/>
  <c r="M757" i="3" s="1"/>
  <c r="L543" i="3"/>
  <c r="L383" i="3"/>
  <c r="P737" i="3"/>
  <c r="P141" i="3"/>
  <c r="Q801" i="3"/>
  <c r="Q315" i="3"/>
  <c r="L781" i="3"/>
  <c r="L787" i="3"/>
  <c r="L489" i="3"/>
  <c r="M764" i="3"/>
  <c r="M132" i="3"/>
  <c r="Q750" i="3"/>
  <c r="Q147" i="3"/>
  <c r="L514" i="3"/>
  <c r="M310" i="3"/>
  <c r="M758" i="3" s="1"/>
  <c r="L264" i="3"/>
  <c r="L204" i="3"/>
  <c r="L182" i="3"/>
  <c r="M590" i="3"/>
  <c r="Q790" i="3"/>
  <c r="Q474" i="3"/>
  <c r="L354" i="3"/>
  <c r="L777" i="3"/>
  <c r="L798" i="3"/>
  <c r="L423" i="3"/>
  <c r="L231" i="3"/>
  <c r="L330" i="3"/>
  <c r="M470" i="3"/>
  <c r="L739" i="3"/>
  <c r="L776" i="3"/>
  <c r="L316" i="3" l="1"/>
  <c r="L761" i="3" s="1"/>
  <c r="Q749" i="3"/>
  <c r="Q146" i="3"/>
  <c r="M769" i="3"/>
  <c r="M591" i="3"/>
  <c r="L170" i="3"/>
  <c r="L760" i="3" s="1"/>
  <c r="L775" i="3"/>
  <c r="L782" i="3"/>
  <c r="Q738" i="3"/>
  <c r="Q142" i="3"/>
  <c r="M131" i="3"/>
  <c r="M765" i="3"/>
  <c r="P140" i="3"/>
  <c r="AG40" i="4"/>
  <c r="M768" i="3"/>
  <c r="M471" i="3"/>
  <c r="M128" i="3"/>
  <c r="M756" i="3"/>
  <c r="L475" i="3"/>
  <c r="P736" i="3"/>
  <c r="AH35" i="4" l="1"/>
  <c r="M767" i="3"/>
  <c r="M126" i="3"/>
  <c r="AK43" i="4"/>
  <c r="Q145" i="3"/>
  <c r="L779" i="3"/>
  <c r="L759" i="3"/>
  <c r="M129" i="3"/>
  <c r="AG87" i="4"/>
  <c r="AG89" i="4" s="1"/>
  <c r="AG42" i="4"/>
  <c r="AG13" i="4"/>
  <c r="AG34" i="4" l="1"/>
  <c r="AG81" i="4" s="1"/>
  <c r="L762" i="3"/>
  <c r="AK90" i="4"/>
  <c r="AK45" i="4"/>
  <c r="AL44" i="4"/>
  <c r="AL91" i="4" s="1"/>
  <c r="Q748" i="3"/>
  <c r="AG12" i="4"/>
  <c r="AG60" i="4"/>
  <c r="AG10" i="4"/>
  <c r="M125" i="3"/>
  <c r="M770" i="3"/>
  <c r="AH82" i="4"/>
  <c r="AG32" i="4" l="1"/>
  <c r="AG57" i="4"/>
  <c r="AG8" i="5" s="1"/>
  <c r="AG26" i="4"/>
  <c r="AH36" i="4"/>
  <c r="AG11" i="4"/>
  <c r="AG8" i="4"/>
  <c r="AG59" i="4"/>
  <c r="AG9" i="4"/>
  <c r="M135" i="3"/>
  <c r="AK16" i="5"/>
  <c r="AK92" i="4"/>
  <c r="M137" i="3" l="1"/>
  <c r="AG73" i="4"/>
  <c r="AG58" i="4"/>
  <c r="AH125" i="4"/>
  <c r="AH83" i="4"/>
  <c r="M792" i="3"/>
  <c r="AG56" i="4"/>
  <c r="AG24" i="4"/>
  <c r="AG7" i="4"/>
  <c r="AG54" i="4" s="1"/>
  <c r="AG55" i="4"/>
  <c r="AG7" i="5" s="1"/>
  <c r="AG25" i="4"/>
  <c r="AG6" i="4"/>
  <c r="AG53" i="4" s="1"/>
  <c r="AG6" i="5" s="1"/>
  <c r="AG123" i="4"/>
  <c r="AG79" i="4"/>
  <c r="AG31" i="4"/>
  <c r="AG33" i="4"/>
  <c r="AG80" i="4" s="1"/>
  <c r="AG124" i="4" l="1"/>
  <c r="AG78" i="4"/>
  <c r="AG37" i="4"/>
  <c r="AG72" i="4"/>
  <c r="AG23" i="4"/>
  <c r="AG70" i="4" s="1"/>
  <c r="AG12" i="5"/>
  <c r="M144" i="3"/>
  <c r="M160" i="3"/>
  <c r="M139" i="3"/>
  <c r="AG71" i="4"/>
  <c r="AG11" i="5" s="1"/>
  <c r="AG22" i="4"/>
  <c r="AG69" i="4" l="1"/>
  <c r="J12" i="1"/>
  <c r="M138" i="3"/>
  <c r="AG127" i="4"/>
  <c r="AG126" i="4"/>
  <c r="AG46" i="4"/>
  <c r="AG84" i="4"/>
  <c r="M742" i="3"/>
  <c r="M143" i="3"/>
  <c r="AG141" i="4" l="1"/>
  <c r="J14" i="1"/>
  <c r="J36" i="1" s="1"/>
  <c r="M583" i="3"/>
  <c r="M463" i="3"/>
  <c r="M751" i="3"/>
  <c r="AG93" i="4"/>
  <c r="AG18" i="5" s="1"/>
  <c r="AG19" i="5" s="1"/>
  <c r="AG48" i="4"/>
  <c r="AG95" i="4" s="1"/>
  <c r="M304" i="3"/>
  <c r="M164" i="3"/>
  <c r="AG10" i="5"/>
  <c r="J13" i="1" s="1"/>
  <c r="K30" i="1" s="1"/>
  <c r="AG130" i="4"/>
  <c r="AH133" i="4"/>
  <c r="AG143" i="4"/>
  <c r="AG118" i="4"/>
  <c r="AH41" i="4" l="1"/>
  <c r="AH88" i="4" s="1"/>
  <c r="K27" i="1"/>
  <c r="K28" i="1" s="1"/>
  <c r="M731" i="3"/>
  <c r="M227" i="3"/>
  <c r="M229" i="3" s="1"/>
  <c r="M166" i="3"/>
  <c r="M260" i="3"/>
  <c r="M262" i="3" s="1"/>
  <c r="M200" i="3"/>
  <c r="M202" i="3" s="1"/>
  <c r="M178" i="3"/>
  <c r="M180" i="3" s="1"/>
  <c r="M743" i="3"/>
  <c r="M537" i="3"/>
  <c r="M539" i="3" s="1"/>
  <c r="M540" i="3" s="1"/>
  <c r="M508" i="3"/>
  <c r="M510" i="3" s="1"/>
  <c r="M511" i="3" s="1"/>
  <c r="M465" i="3"/>
  <c r="M468" i="3" s="1"/>
  <c r="M466" i="3"/>
  <c r="M483" i="3"/>
  <c r="M485" i="3" s="1"/>
  <c r="M486" i="3" s="1"/>
  <c r="M744" i="3"/>
  <c r="M649" i="3"/>
  <c r="M651" i="3" s="1"/>
  <c r="M652" i="3" s="1"/>
  <c r="M623" i="3"/>
  <c r="M625" i="3" s="1"/>
  <c r="M626" i="3" s="1"/>
  <c r="M686" i="3"/>
  <c r="M688" i="3" s="1"/>
  <c r="M689" i="3" s="1"/>
  <c r="M586" i="3"/>
  <c r="M585" i="3"/>
  <c r="M588" i="3" s="1"/>
  <c r="M602" i="3"/>
  <c r="M604" i="3" s="1"/>
  <c r="M605" i="3" s="1"/>
  <c r="M732" i="3"/>
  <c r="M417" i="3"/>
  <c r="M419" i="3" s="1"/>
  <c r="M420" i="3" s="1"/>
  <c r="M348" i="3"/>
  <c r="M350" i="3" s="1"/>
  <c r="M351" i="3" s="1"/>
  <c r="M324" i="3"/>
  <c r="M326" i="3" s="1"/>
  <c r="M327" i="3" s="1"/>
  <c r="M306" i="3"/>
  <c r="M307" i="3"/>
  <c r="M309" i="3" s="1"/>
  <c r="M800" i="3" s="1"/>
  <c r="M377" i="3"/>
  <c r="M379" i="3" s="1"/>
  <c r="M380" i="3" s="1"/>
  <c r="M789" i="3" l="1"/>
  <c r="M791" i="3" s="1"/>
  <c r="M405" i="3"/>
  <c r="M403" i="3"/>
  <c r="M401" i="3"/>
  <c r="M399" i="3"/>
  <c r="M397" i="3"/>
  <c r="M395" i="3"/>
  <c r="M393" i="3"/>
  <c r="M391" i="3"/>
  <c r="M389" i="3"/>
  <c r="M387" i="3"/>
  <c r="M402" i="3"/>
  <c r="M398" i="3"/>
  <c r="M394" i="3"/>
  <c r="M390" i="3"/>
  <c r="M386" i="3"/>
  <c r="N407" i="3" s="1"/>
  <c r="M404" i="3"/>
  <c r="M396" i="3"/>
  <c r="M388" i="3"/>
  <c r="M400" i="3"/>
  <c r="M392" i="3"/>
  <c r="M381" i="3"/>
  <c r="M495" i="3"/>
  <c r="M493" i="3"/>
  <c r="M494" i="3"/>
  <c r="M487" i="3"/>
  <c r="M496" i="3"/>
  <c r="M492" i="3"/>
  <c r="N498" i="3" s="1"/>
  <c r="M296" i="3"/>
  <c r="M294" i="3"/>
  <c r="M292" i="3"/>
  <c r="M290" i="3"/>
  <c r="M288" i="3"/>
  <c r="M286" i="3"/>
  <c r="M284" i="3"/>
  <c r="M282" i="3"/>
  <c r="M280" i="3"/>
  <c r="M278" i="3"/>
  <c r="M276" i="3"/>
  <c r="M274" i="3"/>
  <c r="M272" i="3"/>
  <c r="M270" i="3"/>
  <c r="M268" i="3"/>
  <c r="M293" i="3"/>
  <c r="M289" i="3"/>
  <c r="M285" i="3"/>
  <c r="M281" i="3"/>
  <c r="M277" i="3"/>
  <c r="M273" i="3"/>
  <c r="M269" i="3"/>
  <c r="M295" i="3"/>
  <c r="M287" i="3"/>
  <c r="M279" i="3"/>
  <c r="M271" i="3"/>
  <c r="M291" i="3"/>
  <c r="M267" i="3"/>
  <c r="N298" i="3" s="1"/>
  <c r="M283" i="3"/>
  <c r="M275" i="3"/>
  <c r="M802" i="3"/>
  <c r="M796" i="3"/>
  <c r="M690" i="3"/>
  <c r="M711" i="3"/>
  <c r="M695" i="3"/>
  <c r="M696" i="3"/>
  <c r="M698" i="3"/>
  <c r="M714" i="3"/>
  <c r="M709" i="3"/>
  <c r="M693" i="3"/>
  <c r="N724" i="3" s="1"/>
  <c r="M718" i="3"/>
  <c r="M707" i="3"/>
  <c r="M720" i="3"/>
  <c r="M710" i="3"/>
  <c r="M721" i="3"/>
  <c r="M705" i="3"/>
  <c r="M716" i="3"/>
  <c r="M702" i="3"/>
  <c r="M719" i="3"/>
  <c r="M703" i="3"/>
  <c r="M712" i="3"/>
  <c r="M694" i="3"/>
  <c r="M717" i="3"/>
  <c r="M701" i="3"/>
  <c r="M708" i="3"/>
  <c r="M722" i="3"/>
  <c r="M715" i="3"/>
  <c r="M699" i="3"/>
  <c r="M704" i="3"/>
  <c r="M713" i="3"/>
  <c r="M697" i="3"/>
  <c r="M700" i="3"/>
  <c r="M706" i="3"/>
  <c r="M248" i="3"/>
  <c r="M246" i="3"/>
  <c r="M244" i="3"/>
  <c r="M242" i="3"/>
  <c r="M240" i="3"/>
  <c r="M238" i="3"/>
  <c r="M236" i="3"/>
  <c r="M234" i="3"/>
  <c r="N250" i="3" s="1"/>
  <c r="M245" i="3"/>
  <c r="M241" i="3"/>
  <c r="M237" i="3"/>
  <c r="M239" i="3"/>
  <c r="M247" i="3"/>
  <c r="M235" i="3"/>
  <c r="M243" i="3"/>
  <c r="M337" i="3"/>
  <c r="M335" i="3"/>
  <c r="M333" i="3"/>
  <c r="N339" i="3" s="1"/>
  <c r="M328" i="3"/>
  <c r="M334" i="3"/>
  <c r="M336" i="3"/>
  <c r="N312" i="3"/>
  <c r="N313" i="3" s="1"/>
  <c r="N134" i="3" s="1"/>
  <c r="M639" i="3"/>
  <c r="M637" i="3"/>
  <c r="M635" i="3"/>
  <c r="M633" i="3"/>
  <c r="M631" i="3"/>
  <c r="M627" i="3"/>
  <c r="M636" i="3"/>
  <c r="M632" i="3"/>
  <c r="M634" i="3"/>
  <c r="M638" i="3"/>
  <c r="M630" i="3"/>
  <c r="N641" i="3" s="1"/>
  <c r="M525" i="3"/>
  <c r="M523" i="3"/>
  <c r="M521" i="3"/>
  <c r="M519" i="3"/>
  <c r="M517" i="3"/>
  <c r="N528" i="3" s="1"/>
  <c r="M512" i="3"/>
  <c r="M526" i="3"/>
  <c r="M522" i="3"/>
  <c r="M518" i="3"/>
  <c r="M524" i="3"/>
  <c r="M520" i="3"/>
  <c r="M730" i="3"/>
  <c r="M740" i="3"/>
  <c r="M365" i="3"/>
  <c r="M363" i="3"/>
  <c r="M361" i="3"/>
  <c r="M359" i="3"/>
  <c r="M357" i="3"/>
  <c r="N368" i="3" s="1"/>
  <c r="M352" i="3"/>
  <c r="M366" i="3"/>
  <c r="M362" i="3"/>
  <c r="M358" i="3"/>
  <c r="M360" i="3"/>
  <c r="M364" i="3"/>
  <c r="M675" i="3"/>
  <c r="M673" i="3"/>
  <c r="M671" i="3"/>
  <c r="M669" i="3"/>
  <c r="M667" i="3"/>
  <c r="M665" i="3"/>
  <c r="M663" i="3"/>
  <c r="M661" i="3"/>
  <c r="M659" i="3"/>
  <c r="M657" i="3"/>
  <c r="M653" i="3"/>
  <c r="M674" i="3"/>
  <c r="M670" i="3"/>
  <c r="M664" i="3"/>
  <c r="M656" i="3"/>
  <c r="N677" i="3" s="1"/>
  <c r="M666" i="3"/>
  <c r="M658" i="3"/>
  <c r="M672" i="3"/>
  <c r="M660" i="3"/>
  <c r="M668" i="3"/>
  <c r="M662" i="3"/>
  <c r="M574" i="3"/>
  <c r="M572" i="3"/>
  <c r="M570" i="3"/>
  <c r="M568" i="3"/>
  <c r="M566" i="3"/>
  <c r="M564" i="3"/>
  <c r="M562" i="3"/>
  <c r="M560" i="3"/>
  <c r="M558" i="3"/>
  <c r="M556" i="3"/>
  <c r="M554" i="3"/>
  <c r="M552" i="3"/>
  <c r="M550" i="3"/>
  <c r="M548" i="3"/>
  <c r="M546" i="3"/>
  <c r="N577" i="3" s="1"/>
  <c r="M541" i="3"/>
  <c r="M575" i="3"/>
  <c r="M571" i="3"/>
  <c r="M567" i="3"/>
  <c r="M563" i="3"/>
  <c r="M559" i="3"/>
  <c r="M555" i="3"/>
  <c r="M551" i="3"/>
  <c r="M547" i="3"/>
  <c r="M553" i="3"/>
  <c r="M573" i="3"/>
  <c r="M561" i="3"/>
  <c r="M549" i="3"/>
  <c r="M557" i="3"/>
  <c r="M569" i="3"/>
  <c r="M565" i="3"/>
  <c r="M454" i="3"/>
  <c r="M452" i="3"/>
  <c r="M450" i="3"/>
  <c r="M448" i="3"/>
  <c r="M446" i="3"/>
  <c r="M444" i="3"/>
  <c r="M442" i="3"/>
  <c r="M440" i="3"/>
  <c r="M438" i="3"/>
  <c r="M436" i="3"/>
  <c r="M434" i="3"/>
  <c r="M432" i="3"/>
  <c r="M430" i="3"/>
  <c r="M428" i="3"/>
  <c r="M426" i="3"/>
  <c r="N457" i="3" s="1"/>
  <c r="M421" i="3"/>
  <c r="M455" i="3"/>
  <c r="M451" i="3"/>
  <c r="M447" i="3"/>
  <c r="M443" i="3"/>
  <c r="M439" i="3"/>
  <c r="M435" i="3"/>
  <c r="M431" i="3"/>
  <c r="M427" i="3"/>
  <c r="M449" i="3"/>
  <c r="M441" i="3"/>
  <c r="M433" i="3"/>
  <c r="M453" i="3"/>
  <c r="M445" i="3"/>
  <c r="M437" i="3"/>
  <c r="M429" i="3"/>
  <c r="M753" i="3"/>
  <c r="M752" i="3"/>
  <c r="M741" i="3"/>
  <c r="M188" i="3"/>
  <c r="M186" i="3"/>
  <c r="M187" i="3"/>
  <c r="M189" i="3"/>
  <c r="M185" i="3"/>
  <c r="N191" i="3" s="1"/>
  <c r="M613" i="3"/>
  <c r="M611" i="3"/>
  <c r="M609" i="3"/>
  <c r="N615" i="3" s="1"/>
  <c r="M606" i="3"/>
  <c r="M610" i="3"/>
  <c r="M612" i="3"/>
  <c r="M216" i="3"/>
  <c r="M214" i="3"/>
  <c r="M212" i="3"/>
  <c r="M210" i="3"/>
  <c r="M208" i="3"/>
  <c r="M213" i="3"/>
  <c r="M209" i="3"/>
  <c r="M207" i="3"/>
  <c r="N218" i="3" s="1"/>
  <c r="M211" i="3"/>
  <c r="M215" i="3"/>
  <c r="M785" i="3" l="1"/>
  <c r="M781" i="3" s="1"/>
  <c r="N590" i="3"/>
  <c r="N764" i="3"/>
  <c r="N132" i="3"/>
  <c r="M777" i="3"/>
  <c r="M798" i="3"/>
  <c r="M264" i="3"/>
  <c r="N310" i="3"/>
  <c r="N758" i="3" s="1"/>
  <c r="M354" i="3"/>
  <c r="M739" i="3"/>
  <c r="M776" i="3"/>
  <c r="M231" i="3"/>
  <c r="N769" i="3"/>
  <c r="N591" i="3"/>
  <c r="N167" i="3"/>
  <c r="N757" i="3" s="1"/>
  <c r="N470" i="3"/>
  <c r="M204" i="3"/>
  <c r="M182" i="3"/>
  <c r="M423" i="3"/>
  <c r="M489" i="3"/>
  <c r="M330" i="3"/>
  <c r="M543" i="3"/>
  <c r="M514" i="3"/>
  <c r="M383" i="3"/>
  <c r="M787" i="3" l="1"/>
  <c r="M170" i="3"/>
  <c r="M760" i="3" s="1"/>
  <c r="AH40" i="4"/>
  <c r="N765" i="3"/>
  <c r="M316" i="3"/>
  <c r="M761" i="3" s="1"/>
  <c r="N131" i="3"/>
  <c r="M475" i="3"/>
  <c r="N768" i="3"/>
  <c r="N471" i="3"/>
  <c r="N128" i="3"/>
  <c r="M775" i="3"/>
  <c r="M782" i="3"/>
  <c r="AH13" i="4" l="1"/>
  <c r="N129" i="3"/>
  <c r="M779" i="3"/>
  <c r="N767" i="3"/>
  <c r="N126" i="3"/>
  <c r="N756" i="3"/>
  <c r="AH87" i="4"/>
  <c r="AH89" i="4" s="1"/>
  <c r="AH42" i="4"/>
  <c r="AI35" i="4"/>
  <c r="M759" i="3"/>
  <c r="AH12" i="4" l="1"/>
  <c r="AH10" i="4"/>
  <c r="AH60" i="4"/>
  <c r="N770" i="3"/>
  <c r="AI82" i="4"/>
  <c r="AH34" i="4"/>
  <c r="AH81" i="4" s="1"/>
  <c r="M762" i="3"/>
  <c r="N125" i="3"/>
  <c r="AH32" i="4" l="1"/>
  <c r="AH26" i="4"/>
  <c r="AH57" i="4"/>
  <c r="AH8" i="5" s="1"/>
  <c r="N135" i="3"/>
  <c r="AI36" i="4"/>
  <c r="AH59" i="4"/>
  <c r="AH8" i="4"/>
  <c r="AH11" i="4"/>
  <c r="AH9" i="4"/>
  <c r="AH55" i="4" l="1"/>
  <c r="AH7" i="5" s="1"/>
  <c r="AH25" i="4"/>
  <c r="AH6" i="4"/>
  <c r="AH53" i="4" s="1"/>
  <c r="AH6" i="5" s="1"/>
  <c r="AH73" i="4"/>
  <c r="AI83" i="4"/>
  <c r="AI125" i="4"/>
  <c r="N792" i="3"/>
  <c r="AH56" i="4"/>
  <c r="AH24" i="4"/>
  <c r="AH7" i="4"/>
  <c r="AH54" i="4" s="1"/>
  <c r="AH58" i="4"/>
  <c r="N137" i="3"/>
  <c r="AH123" i="4"/>
  <c r="AH79" i="4"/>
  <c r="AH31" i="4"/>
  <c r="AH33" i="4"/>
  <c r="AH80" i="4" s="1"/>
  <c r="AH124" i="4" l="1"/>
  <c r="AH78" i="4"/>
  <c r="AH37" i="4"/>
  <c r="AH12" i="5"/>
  <c r="AH72" i="4"/>
  <c r="AH23" i="4"/>
  <c r="AH70" i="4" s="1"/>
  <c r="AH71" i="4"/>
  <c r="AH11" i="5" s="1"/>
  <c r="AH22" i="4"/>
  <c r="N144" i="3"/>
  <c r="N160" i="3"/>
  <c r="N139" i="3"/>
  <c r="AH69" i="4" l="1"/>
  <c r="K12" i="1"/>
  <c r="N138" i="3"/>
  <c r="N742" i="3"/>
  <c r="N143" i="3"/>
  <c r="AH126" i="4"/>
  <c r="AH46" i="4"/>
  <c r="AH84" i="4"/>
  <c r="AH127" i="4"/>
  <c r="N751" i="3" l="1"/>
  <c r="N304" i="3"/>
  <c r="N164" i="3"/>
  <c r="N583" i="3"/>
  <c r="N463" i="3"/>
  <c r="AH93" i="4"/>
  <c r="AH18" i="5" s="1"/>
  <c r="AH19" i="5" s="1"/>
  <c r="AH48" i="4"/>
  <c r="AH95" i="4" s="1"/>
  <c r="AH141" i="4"/>
  <c r="K14" i="1"/>
  <c r="K36" i="1" s="1"/>
  <c r="AH10" i="5"/>
  <c r="K13" i="1" s="1"/>
  <c r="L30" i="1" s="1"/>
  <c r="AH130" i="4"/>
  <c r="AI133" i="4"/>
  <c r="AH143" i="4"/>
  <c r="AH118" i="4"/>
  <c r="L27" i="1" l="1"/>
  <c r="L28" i="1" s="1"/>
  <c r="N731" i="3"/>
  <c r="N227" i="3"/>
  <c r="N229" i="3" s="1"/>
  <c r="N166" i="3"/>
  <c r="N260" i="3"/>
  <c r="N262" i="3" s="1"/>
  <c r="N178" i="3"/>
  <c r="N180" i="3" s="1"/>
  <c r="N200" i="3"/>
  <c r="N202" i="3" s="1"/>
  <c r="N732" i="3"/>
  <c r="N417" i="3"/>
  <c r="N419" i="3" s="1"/>
  <c r="N420" i="3" s="1"/>
  <c r="N348" i="3"/>
  <c r="N350" i="3" s="1"/>
  <c r="N351" i="3" s="1"/>
  <c r="N324" i="3"/>
  <c r="N326" i="3" s="1"/>
  <c r="N327" i="3" s="1"/>
  <c r="N306" i="3"/>
  <c r="N307" i="3"/>
  <c r="N309" i="3" s="1"/>
  <c r="N800" i="3" s="1"/>
  <c r="N377" i="3"/>
  <c r="N379" i="3" s="1"/>
  <c r="N380" i="3" s="1"/>
  <c r="N743" i="3"/>
  <c r="N537" i="3"/>
  <c r="N539" i="3" s="1"/>
  <c r="N540" i="3" s="1"/>
  <c r="N508" i="3"/>
  <c r="N510" i="3" s="1"/>
  <c r="N511" i="3" s="1"/>
  <c r="N465" i="3"/>
  <c r="N468" i="3" s="1"/>
  <c r="N483" i="3"/>
  <c r="N485" i="3" s="1"/>
  <c r="N486" i="3" s="1"/>
  <c r="N466" i="3"/>
  <c r="N744" i="3"/>
  <c r="N686" i="3"/>
  <c r="N688" i="3" s="1"/>
  <c r="N689" i="3" s="1"/>
  <c r="N649" i="3"/>
  <c r="N651" i="3" s="1"/>
  <c r="N652" i="3" s="1"/>
  <c r="N623" i="3"/>
  <c r="N625" i="3" s="1"/>
  <c r="N626" i="3" s="1"/>
  <c r="N602" i="3"/>
  <c r="N604" i="3" s="1"/>
  <c r="N605" i="3" s="1"/>
  <c r="N586" i="3"/>
  <c r="N585" i="3"/>
  <c r="N588" i="3" s="1"/>
  <c r="AI41" i="4"/>
  <c r="AI88" i="4" s="1"/>
  <c r="N216" i="3" l="1"/>
  <c r="N214" i="3"/>
  <c r="N212" i="3"/>
  <c r="N210" i="3"/>
  <c r="N208" i="3"/>
  <c r="N213" i="3"/>
  <c r="N209" i="3"/>
  <c r="N215" i="3"/>
  <c r="N211" i="3"/>
  <c r="N207" i="3"/>
  <c r="O218" i="3" s="1"/>
  <c r="N613" i="3"/>
  <c r="N611" i="3"/>
  <c r="N609" i="3"/>
  <c r="O615" i="3" s="1"/>
  <c r="N612" i="3"/>
  <c r="N606" i="3"/>
  <c r="N610" i="3"/>
  <c r="N789" i="3"/>
  <c r="N525" i="3"/>
  <c r="N523" i="3"/>
  <c r="N521" i="3"/>
  <c r="N519" i="3"/>
  <c r="N517" i="3"/>
  <c r="O528" i="3" s="1"/>
  <c r="N512" i="3"/>
  <c r="N526" i="3"/>
  <c r="N522" i="3"/>
  <c r="N518" i="3"/>
  <c r="N524" i="3"/>
  <c r="N520" i="3"/>
  <c r="N454" i="3"/>
  <c r="N452" i="3"/>
  <c r="N450" i="3"/>
  <c r="N448" i="3"/>
  <c r="N446" i="3"/>
  <c r="N444" i="3"/>
  <c r="N442" i="3"/>
  <c r="N440" i="3"/>
  <c r="N438" i="3"/>
  <c r="N436" i="3"/>
  <c r="N434" i="3"/>
  <c r="N432" i="3"/>
  <c r="N430" i="3"/>
  <c r="N428" i="3"/>
  <c r="N426" i="3"/>
  <c r="O457" i="3" s="1"/>
  <c r="N421" i="3"/>
  <c r="N455" i="3"/>
  <c r="N451" i="3"/>
  <c r="N447" i="3"/>
  <c r="N443" i="3"/>
  <c r="N439" i="3"/>
  <c r="N435" i="3"/>
  <c r="N431" i="3"/>
  <c r="N427" i="3"/>
  <c r="N453" i="3"/>
  <c r="N445" i="3"/>
  <c r="N437" i="3"/>
  <c r="N429" i="3"/>
  <c r="N449" i="3"/>
  <c r="N441" i="3"/>
  <c r="N433" i="3"/>
  <c r="N730" i="3"/>
  <c r="N740" i="3"/>
  <c r="N405" i="3"/>
  <c r="N403" i="3"/>
  <c r="N401" i="3"/>
  <c r="N399" i="3"/>
  <c r="N397" i="3"/>
  <c r="N395" i="3"/>
  <c r="N393" i="3"/>
  <c r="N391" i="3"/>
  <c r="N389" i="3"/>
  <c r="N387" i="3"/>
  <c r="N402" i="3"/>
  <c r="N398" i="3"/>
  <c r="N394" i="3"/>
  <c r="N390" i="3"/>
  <c r="N386" i="3"/>
  <c r="O407" i="3" s="1"/>
  <c r="N404" i="3"/>
  <c r="N396" i="3"/>
  <c r="N388" i="3"/>
  <c r="N400" i="3"/>
  <c r="N392" i="3"/>
  <c r="N381" i="3"/>
  <c r="N802" i="3"/>
  <c r="N796" i="3"/>
  <c r="N296" i="3"/>
  <c r="N294" i="3"/>
  <c r="N292" i="3"/>
  <c r="N290" i="3"/>
  <c r="N288" i="3"/>
  <c r="N286" i="3"/>
  <c r="N284" i="3"/>
  <c r="N282" i="3"/>
  <c r="N280" i="3"/>
  <c r="N278" i="3"/>
  <c r="N276" i="3"/>
  <c r="N274" i="3"/>
  <c r="N272" i="3"/>
  <c r="N270" i="3"/>
  <c r="N268" i="3"/>
  <c r="N293" i="3"/>
  <c r="N289" i="3"/>
  <c r="N285" i="3"/>
  <c r="N281" i="3"/>
  <c r="N277" i="3"/>
  <c r="N273" i="3"/>
  <c r="N269" i="3"/>
  <c r="N295" i="3"/>
  <c r="N287" i="3"/>
  <c r="N279" i="3"/>
  <c r="N271" i="3"/>
  <c r="N291" i="3"/>
  <c r="N283" i="3"/>
  <c r="N275" i="3"/>
  <c r="N267" i="3"/>
  <c r="O298" i="3" s="1"/>
  <c r="N495" i="3"/>
  <c r="N493" i="3"/>
  <c r="N494" i="3"/>
  <c r="N487" i="3"/>
  <c r="N496" i="3"/>
  <c r="N492" i="3"/>
  <c r="O498" i="3" s="1"/>
  <c r="N639" i="3"/>
  <c r="N637" i="3"/>
  <c r="N635" i="3"/>
  <c r="N633" i="3"/>
  <c r="N631" i="3"/>
  <c r="N627" i="3"/>
  <c r="N636" i="3"/>
  <c r="N632" i="3"/>
  <c r="N638" i="3"/>
  <c r="N630" i="3"/>
  <c r="O641" i="3" s="1"/>
  <c r="N634" i="3"/>
  <c r="N248" i="3"/>
  <c r="N246" i="3"/>
  <c r="N244" i="3"/>
  <c r="N242" i="3"/>
  <c r="N240" i="3"/>
  <c r="N238" i="3"/>
  <c r="N236" i="3"/>
  <c r="N234" i="3"/>
  <c r="O250" i="3" s="1"/>
  <c r="N245" i="3"/>
  <c r="N241" i="3"/>
  <c r="N237" i="3"/>
  <c r="N247" i="3"/>
  <c r="N243" i="3"/>
  <c r="N239" i="3"/>
  <c r="N235" i="3"/>
  <c r="N741" i="3"/>
  <c r="N188" i="3"/>
  <c r="N186" i="3"/>
  <c r="N187" i="3"/>
  <c r="N189" i="3"/>
  <c r="N185" i="3"/>
  <c r="O191" i="3" s="1"/>
  <c r="N337" i="3"/>
  <c r="N335" i="3"/>
  <c r="N333" i="3"/>
  <c r="O339" i="3" s="1"/>
  <c r="N328" i="3"/>
  <c r="N336" i="3"/>
  <c r="N334" i="3"/>
  <c r="O312" i="3"/>
  <c r="O313" i="3" s="1"/>
  <c r="O134" i="3" s="1"/>
  <c r="N365" i="3"/>
  <c r="N363" i="3"/>
  <c r="N361" i="3"/>
  <c r="N359" i="3"/>
  <c r="N357" i="3"/>
  <c r="O368" i="3" s="1"/>
  <c r="N352" i="3"/>
  <c r="N364" i="3"/>
  <c r="N360" i="3"/>
  <c r="N366" i="3"/>
  <c r="N358" i="3"/>
  <c r="N362" i="3"/>
  <c r="N675" i="3"/>
  <c r="N673" i="3"/>
  <c r="N671" i="3"/>
  <c r="N669" i="3"/>
  <c r="N670" i="3"/>
  <c r="N667" i="3"/>
  <c r="N665" i="3"/>
  <c r="N663" i="3"/>
  <c r="N661" i="3"/>
  <c r="N659" i="3"/>
  <c r="N657" i="3"/>
  <c r="N653" i="3"/>
  <c r="N666" i="3"/>
  <c r="N662" i="3"/>
  <c r="N658" i="3"/>
  <c r="N672" i="3"/>
  <c r="N668" i="3"/>
  <c r="N664" i="3"/>
  <c r="N660" i="3"/>
  <c r="N656" i="3"/>
  <c r="O677" i="3" s="1"/>
  <c r="N674" i="3"/>
  <c r="N690" i="3"/>
  <c r="N711" i="3"/>
  <c r="N695" i="3"/>
  <c r="N696" i="3"/>
  <c r="N698" i="3"/>
  <c r="N709" i="3"/>
  <c r="N693" i="3"/>
  <c r="O724" i="3" s="1"/>
  <c r="N718" i="3"/>
  <c r="N707" i="3"/>
  <c r="N720" i="3"/>
  <c r="N710" i="3"/>
  <c r="N712" i="3"/>
  <c r="N721" i="3"/>
  <c r="N705" i="3"/>
  <c r="N716" i="3"/>
  <c r="N702" i="3"/>
  <c r="N703" i="3"/>
  <c r="N694" i="3"/>
  <c r="N719" i="3"/>
  <c r="N717" i="3"/>
  <c r="N701" i="3"/>
  <c r="N708" i="3"/>
  <c r="N722" i="3"/>
  <c r="N715" i="3"/>
  <c r="N699" i="3"/>
  <c r="N704" i="3"/>
  <c r="N706" i="3"/>
  <c r="N713" i="3"/>
  <c r="N697" i="3"/>
  <c r="N700" i="3"/>
  <c r="N714" i="3"/>
  <c r="N541" i="3"/>
  <c r="N575" i="3"/>
  <c r="N573" i="3"/>
  <c r="N571" i="3"/>
  <c r="N569" i="3"/>
  <c r="N567" i="3"/>
  <c r="N565" i="3"/>
  <c r="N563" i="3"/>
  <c r="N561" i="3"/>
  <c r="N559" i="3"/>
  <c r="N557" i="3"/>
  <c r="N555" i="3"/>
  <c r="N553" i="3"/>
  <c r="N551" i="3"/>
  <c r="N549" i="3"/>
  <c r="N547" i="3"/>
  <c r="N574" i="3"/>
  <c r="N570" i="3"/>
  <c r="N566" i="3"/>
  <c r="N562" i="3"/>
  <c r="N558" i="3"/>
  <c r="N554" i="3"/>
  <c r="N550" i="3"/>
  <c r="N546" i="3"/>
  <c r="O577" i="3" s="1"/>
  <c r="N572" i="3"/>
  <c r="N568" i="3"/>
  <c r="N564" i="3"/>
  <c r="N560" i="3"/>
  <c r="N556" i="3"/>
  <c r="N552" i="3"/>
  <c r="N548" i="3"/>
  <c r="N753" i="3"/>
  <c r="N752" i="3"/>
  <c r="O167" i="3" l="1"/>
  <c r="O757" i="3" s="1"/>
  <c r="O310" i="3"/>
  <c r="O758" i="3" s="1"/>
  <c r="N514" i="3"/>
  <c r="O764" i="3"/>
  <c r="O132" i="3"/>
  <c r="N423" i="3"/>
  <c r="N182" i="3"/>
  <c r="N543" i="3"/>
  <c r="N354" i="3"/>
  <c r="N231" i="3"/>
  <c r="N777" i="3"/>
  <c r="N798" i="3"/>
  <c r="N739" i="3"/>
  <c r="N776" i="3"/>
  <c r="N383" i="3"/>
  <c r="O590" i="3"/>
  <c r="O470" i="3"/>
  <c r="N264" i="3"/>
  <c r="N330" i="3"/>
  <c r="N489" i="3"/>
  <c r="N791" i="3"/>
  <c r="N785" i="3"/>
  <c r="N204" i="3"/>
  <c r="N475" i="3" l="1"/>
  <c r="O131" i="3"/>
  <c r="N316" i="3"/>
  <c r="N761" i="3" s="1"/>
  <c r="AI40" i="4"/>
  <c r="N170" i="3"/>
  <c r="N760" i="3" s="1"/>
  <c r="O768" i="3"/>
  <c r="O471" i="3"/>
  <c r="O128" i="3"/>
  <c r="N775" i="3"/>
  <c r="O769" i="3"/>
  <c r="O591" i="3"/>
  <c r="N781" i="3"/>
  <c r="N787" i="3"/>
  <c r="O756" i="3"/>
  <c r="O765" i="3"/>
  <c r="O129" i="3" l="1"/>
  <c r="N782" i="3"/>
  <c r="AJ35" i="4"/>
  <c r="N759" i="3"/>
  <c r="N779" i="3"/>
  <c r="O767" i="3"/>
  <c r="O126" i="3"/>
  <c r="AI87" i="4"/>
  <c r="AI89" i="4" s="1"/>
  <c r="AI42" i="4"/>
  <c r="O125" i="3" l="1"/>
  <c r="AI34" i="4"/>
  <c r="AI81" i="4" s="1"/>
  <c r="N762" i="3"/>
  <c r="O770" i="3"/>
  <c r="AJ82" i="4"/>
  <c r="AI12" i="4"/>
  <c r="AI13" i="4"/>
  <c r="AJ36" i="4" l="1"/>
  <c r="AI32" i="4"/>
  <c r="AI59" i="4"/>
  <c r="AI8" i="4"/>
  <c r="AI9" i="4"/>
  <c r="AI11" i="4"/>
  <c r="AI60" i="4"/>
  <c r="AI10" i="4"/>
  <c r="O135" i="3"/>
  <c r="AI56" i="4" l="1"/>
  <c r="AI24" i="4"/>
  <c r="AI7" i="4"/>
  <c r="AI54" i="4" s="1"/>
  <c r="AI55" i="4"/>
  <c r="AI7" i="5" s="1"/>
  <c r="AI25" i="4"/>
  <c r="AI6" i="4"/>
  <c r="AI53" i="4" s="1"/>
  <c r="AI6" i="5" s="1"/>
  <c r="O137" i="3"/>
  <c r="AI26" i="4"/>
  <c r="AJ125" i="4" s="1"/>
  <c r="AI57" i="4"/>
  <c r="AI8" i="5" s="1"/>
  <c r="AI123" i="4"/>
  <c r="AI79" i="4"/>
  <c r="AI31" i="4"/>
  <c r="AI33" i="4"/>
  <c r="AI80" i="4" s="1"/>
  <c r="AI58" i="4"/>
  <c r="AJ83" i="4"/>
  <c r="O792" i="3"/>
  <c r="AI71" i="4" l="1"/>
  <c r="AI11" i="5" s="1"/>
  <c r="AI22" i="4"/>
  <c r="AI73" i="4"/>
  <c r="AI72" i="4"/>
  <c r="AI23" i="4"/>
  <c r="AI70" i="4" s="1"/>
  <c r="O144" i="3"/>
  <c r="O139" i="3"/>
  <c r="O160" i="3"/>
  <c r="AI124" i="4"/>
  <c r="AI78" i="4"/>
  <c r="AI37" i="4"/>
  <c r="AI69" i="4" l="1"/>
  <c r="AI118" i="4" s="1"/>
  <c r="L12" i="1"/>
  <c r="AI126" i="4"/>
  <c r="AI84" i="4"/>
  <c r="AI127" i="4"/>
  <c r="AI46" i="4"/>
  <c r="AI12" i="5"/>
  <c r="O138" i="3"/>
  <c r="O742" i="3"/>
  <c r="O143" i="3"/>
  <c r="AI93" i="4" l="1"/>
  <c r="AI18" i="5" s="1"/>
  <c r="AI19" i="5" s="1"/>
  <c r="AI48" i="4"/>
  <c r="AI95" i="4" s="1"/>
  <c r="O583" i="3"/>
  <c r="O463" i="3"/>
  <c r="O751" i="3"/>
  <c r="AI141" i="4"/>
  <c r="L14" i="1"/>
  <c r="L36" i="1" s="1"/>
  <c r="O304" i="3"/>
  <c r="O164" i="3"/>
  <c r="AI10" i="5"/>
  <c r="L13" i="1" s="1"/>
  <c r="M30" i="1" s="1"/>
  <c r="AI130" i="4"/>
  <c r="AJ133" i="4"/>
  <c r="AI143" i="4"/>
  <c r="M27" i="1" l="1"/>
  <c r="M28" i="1" s="1"/>
  <c r="O731" i="3"/>
  <c r="O227" i="3"/>
  <c r="O229" i="3" s="1"/>
  <c r="O260" i="3"/>
  <c r="O262" i="3" s="1"/>
  <c r="O166" i="3"/>
  <c r="O178" i="3"/>
  <c r="O180" i="3" s="1"/>
  <c r="O200" i="3"/>
  <c r="O202" i="3" s="1"/>
  <c r="O744" i="3"/>
  <c r="O686" i="3"/>
  <c r="O688" i="3" s="1"/>
  <c r="O689" i="3" s="1"/>
  <c r="O602" i="3"/>
  <c r="O604" i="3" s="1"/>
  <c r="O605" i="3" s="1"/>
  <c r="O649" i="3"/>
  <c r="O651" i="3" s="1"/>
  <c r="O652" i="3" s="1"/>
  <c r="O623" i="3"/>
  <c r="O625" i="3" s="1"/>
  <c r="O626" i="3" s="1"/>
  <c r="O585" i="3"/>
  <c r="O588" i="3" s="1"/>
  <c r="O586" i="3"/>
  <c r="O743" i="3"/>
  <c r="O465" i="3"/>
  <c r="O468" i="3" s="1"/>
  <c r="O483" i="3"/>
  <c r="O485" i="3" s="1"/>
  <c r="O486" i="3" s="1"/>
  <c r="O508" i="3"/>
  <c r="O510" i="3" s="1"/>
  <c r="O511" i="3" s="1"/>
  <c r="O537" i="3"/>
  <c r="O539" i="3" s="1"/>
  <c r="O540" i="3" s="1"/>
  <c r="O466" i="3"/>
  <c r="AJ41" i="4"/>
  <c r="AJ88" i="4" s="1"/>
  <c r="O732" i="3"/>
  <c r="O417" i="3"/>
  <c r="O419" i="3" s="1"/>
  <c r="O420" i="3" s="1"/>
  <c r="O348" i="3"/>
  <c r="O350" i="3" s="1"/>
  <c r="O351" i="3" s="1"/>
  <c r="O324" i="3"/>
  <c r="O326" i="3" s="1"/>
  <c r="O327" i="3" s="1"/>
  <c r="O306" i="3"/>
  <c r="O377" i="3"/>
  <c r="O379" i="3" s="1"/>
  <c r="O380" i="3" s="1"/>
  <c r="O307" i="3"/>
  <c r="O309" i="3" s="1"/>
  <c r="O800" i="3" s="1"/>
  <c r="O752" i="3" l="1"/>
  <c r="O575" i="3"/>
  <c r="O573" i="3"/>
  <c r="O571" i="3"/>
  <c r="O569" i="3"/>
  <c r="O567" i="3"/>
  <c r="O565" i="3"/>
  <c r="O563" i="3"/>
  <c r="O561" i="3"/>
  <c r="O559" i="3"/>
  <c r="O557" i="3"/>
  <c r="O555" i="3"/>
  <c r="O553" i="3"/>
  <c r="O551" i="3"/>
  <c r="O549" i="3"/>
  <c r="O547" i="3"/>
  <c r="O574" i="3"/>
  <c r="O570" i="3"/>
  <c r="O566" i="3"/>
  <c r="O562" i="3"/>
  <c r="O558" i="3"/>
  <c r="O554" i="3"/>
  <c r="O550" i="3"/>
  <c r="O546" i="3"/>
  <c r="P577" i="3" s="1"/>
  <c r="O572" i="3"/>
  <c r="O568" i="3"/>
  <c r="O564" i="3"/>
  <c r="O560" i="3"/>
  <c r="O556" i="3"/>
  <c r="O552" i="3"/>
  <c r="O548" i="3"/>
  <c r="O541" i="3"/>
  <c r="O296" i="3"/>
  <c r="O294" i="3"/>
  <c r="O292" i="3"/>
  <c r="O290" i="3"/>
  <c r="O288" i="3"/>
  <c r="O286" i="3"/>
  <c r="O284" i="3"/>
  <c r="O282" i="3"/>
  <c r="O280" i="3"/>
  <c r="O278" i="3"/>
  <c r="O276" i="3"/>
  <c r="O274" i="3"/>
  <c r="O272" i="3"/>
  <c r="O270" i="3"/>
  <c r="O268" i="3"/>
  <c r="O295" i="3"/>
  <c r="O291" i="3"/>
  <c r="O287" i="3"/>
  <c r="O283" i="3"/>
  <c r="O279" i="3"/>
  <c r="O275" i="3"/>
  <c r="O271" i="3"/>
  <c r="O267" i="3"/>
  <c r="P298" i="3" s="1"/>
  <c r="O293" i="3"/>
  <c r="O285" i="3"/>
  <c r="O277" i="3"/>
  <c r="O269" i="3"/>
  <c r="O289" i="3"/>
  <c r="O281" i="3"/>
  <c r="O273" i="3"/>
  <c r="O526" i="3"/>
  <c r="O524" i="3"/>
  <c r="O522" i="3"/>
  <c r="O520" i="3"/>
  <c r="O518" i="3"/>
  <c r="O523" i="3"/>
  <c r="O519" i="3"/>
  <c r="O512" i="3"/>
  <c r="O525" i="3"/>
  <c r="O521" i="3"/>
  <c r="O517" i="3"/>
  <c r="P528" i="3" s="1"/>
  <c r="O675" i="3"/>
  <c r="O673" i="3"/>
  <c r="O671" i="3"/>
  <c r="O669" i="3"/>
  <c r="O670" i="3"/>
  <c r="O672" i="3"/>
  <c r="O668" i="3"/>
  <c r="O666" i="3"/>
  <c r="O664" i="3"/>
  <c r="O662" i="3"/>
  <c r="O660" i="3"/>
  <c r="O658" i="3"/>
  <c r="O656" i="3"/>
  <c r="P677" i="3" s="1"/>
  <c r="O665" i="3"/>
  <c r="O661" i="3"/>
  <c r="O657" i="3"/>
  <c r="O674" i="3"/>
  <c r="O667" i="3"/>
  <c r="O659" i="3"/>
  <c r="O653" i="3"/>
  <c r="O663" i="3"/>
  <c r="O248" i="3"/>
  <c r="O246" i="3"/>
  <c r="O244" i="3"/>
  <c r="O242" i="3"/>
  <c r="O240" i="3"/>
  <c r="O238" i="3"/>
  <c r="O236" i="3"/>
  <c r="O234" i="3"/>
  <c r="P250" i="3" s="1"/>
  <c r="O245" i="3"/>
  <c r="O241" i="3"/>
  <c r="O237" i="3"/>
  <c r="O247" i="3"/>
  <c r="O243" i="3"/>
  <c r="O239" i="3"/>
  <c r="O235" i="3"/>
  <c r="O802" i="3"/>
  <c r="O796" i="3"/>
  <c r="O405" i="3"/>
  <c r="O403" i="3"/>
  <c r="O401" i="3"/>
  <c r="O399" i="3"/>
  <c r="O397" i="3"/>
  <c r="O395" i="3"/>
  <c r="O393" i="3"/>
  <c r="O391" i="3"/>
  <c r="O389" i="3"/>
  <c r="O387" i="3"/>
  <c r="O404" i="3"/>
  <c r="O400" i="3"/>
  <c r="O396" i="3"/>
  <c r="O392" i="3"/>
  <c r="O388" i="3"/>
  <c r="O381" i="3"/>
  <c r="O402" i="3"/>
  <c r="O394" i="3"/>
  <c r="O386" i="3"/>
  <c r="P407" i="3" s="1"/>
  <c r="O398" i="3"/>
  <c r="O390" i="3"/>
  <c r="O638" i="3"/>
  <c r="O636" i="3"/>
  <c r="O634" i="3"/>
  <c r="O632" i="3"/>
  <c r="O630" i="3"/>
  <c r="P641" i="3" s="1"/>
  <c r="O639" i="3"/>
  <c r="O631" i="3"/>
  <c r="O633" i="3"/>
  <c r="O635" i="3"/>
  <c r="O627" i="3"/>
  <c r="O637" i="3"/>
  <c r="O337" i="3"/>
  <c r="O335" i="3"/>
  <c r="O333" i="3"/>
  <c r="P339" i="3" s="1"/>
  <c r="O328" i="3"/>
  <c r="O336" i="3"/>
  <c r="O334" i="3"/>
  <c r="P312" i="3"/>
  <c r="P313" i="3" s="1"/>
  <c r="P134" i="3" s="1"/>
  <c r="O365" i="3"/>
  <c r="O363" i="3"/>
  <c r="O361" i="3"/>
  <c r="O359" i="3"/>
  <c r="O357" i="3"/>
  <c r="P368" i="3" s="1"/>
  <c r="O352" i="3"/>
  <c r="O364" i="3"/>
  <c r="O360" i="3"/>
  <c r="O362" i="3"/>
  <c r="O358" i="3"/>
  <c r="O366" i="3"/>
  <c r="O496" i="3"/>
  <c r="O494" i="3"/>
  <c r="O492" i="3"/>
  <c r="P498" i="3" s="1"/>
  <c r="O493" i="3"/>
  <c r="O487" i="3"/>
  <c r="O495" i="3"/>
  <c r="O612" i="3"/>
  <c r="O610" i="3"/>
  <c r="O606" i="3"/>
  <c r="O611" i="3"/>
  <c r="O609" i="3"/>
  <c r="P615" i="3" s="1"/>
  <c r="O613" i="3"/>
  <c r="O730" i="3"/>
  <c r="O740" i="3"/>
  <c r="O741" i="3"/>
  <c r="O216" i="3"/>
  <c r="O214" i="3"/>
  <c r="O212" i="3"/>
  <c r="O210" i="3"/>
  <c r="O208" i="3"/>
  <c r="O213" i="3"/>
  <c r="O209" i="3"/>
  <c r="O211" i="3"/>
  <c r="O215" i="3"/>
  <c r="O207" i="3"/>
  <c r="P218" i="3" s="1"/>
  <c r="O188" i="3"/>
  <c r="O186" i="3"/>
  <c r="O189" i="3"/>
  <c r="O185" i="3"/>
  <c r="P191" i="3" s="1"/>
  <c r="O187" i="3"/>
  <c r="O454" i="3"/>
  <c r="O452" i="3"/>
  <c r="O450" i="3"/>
  <c r="O448" i="3"/>
  <c r="O446" i="3"/>
  <c r="O444" i="3"/>
  <c r="O442" i="3"/>
  <c r="O440" i="3"/>
  <c r="O438" i="3"/>
  <c r="O436" i="3"/>
  <c r="O434" i="3"/>
  <c r="O432" i="3"/>
  <c r="O430" i="3"/>
  <c r="O428" i="3"/>
  <c r="O426" i="3"/>
  <c r="P457" i="3" s="1"/>
  <c r="O421" i="3"/>
  <c r="O453" i="3"/>
  <c r="O449" i="3"/>
  <c r="O445" i="3"/>
  <c r="O441" i="3"/>
  <c r="O437" i="3"/>
  <c r="O433" i="3"/>
  <c r="O429" i="3"/>
  <c r="O451" i="3"/>
  <c r="O443" i="3"/>
  <c r="O435" i="3"/>
  <c r="O427" i="3"/>
  <c r="O455" i="3"/>
  <c r="O447" i="3"/>
  <c r="O439" i="3"/>
  <c r="O431" i="3"/>
  <c r="O789" i="3"/>
  <c r="O690" i="3"/>
  <c r="O715" i="3"/>
  <c r="O699" i="3"/>
  <c r="O704" i="3"/>
  <c r="O706" i="3"/>
  <c r="O713" i="3"/>
  <c r="O697" i="3"/>
  <c r="O700" i="3"/>
  <c r="O714" i="3"/>
  <c r="O711" i="3"/>
  <c r="O695" i="3"/>
  <c r="O696" i="3"/>
  <c r="O698" i="3"/>
  <c r="O709" i="3"/>
  <c r="O693" i="3"/>
  <c r="P724" i="3" s="1"/>
  <c r="O718" i="3"/>
  <c r="O707" i="3"/>
  <c r="O720" i="3"/>
  <c r="O710" i="3"/>
  <c r="O721" i="3"/>
  <c r="O705" i="3"/>
  <c r="O716" i="3"/>
  <c r="O702" i="3"/>
  <c r="O719" i="3"/>
  <c r="O703" i="3"/>
  <c r="O712" i="3"/>
  <c r="O694" i="3"/>
  <c r="O717" i="3"/>
  <c r="O701" i="3"/>
  <c r="O708" i="3"/>
  <c r="O722" i="3"/>
  <c r="O753" i="3"/>
  <c r="P470" i="3" l="1"/>
  <c r="P768" i="3" s="1"/>
  <c r="O489" i="3"/>
  <c r="P310" i="3"/>
  <c r="P758" i="3" s="1"/>
  <c r="O204" i="3"/>
  <c r="O231" i="3"/>
  <c r="O514" i="3"/>
  <c r="P167" i="3"/>
  <c r="P757" i="3" s="1"/>
  <c r="P764" i="3"/>
  <c r="P132" i="3"/>
  <c r="O777" i="3"/>
  <c r="O798" i="3"/>
  <c r="O543" i="3"/>
  <c r="O791" i="3"/>
  <c r="O785" i="3"/>
  <c r="O739" i="3"/>
  <c r="O776" i="3"/>
  <c r="O383" i="3"/>
  <c r="O264" i="3"/>
  <c r="O354" i="3"/>
  <c r="O182" i="3"/>
  <c r="O330" i="3"/>
  <c r="O423" i="3"/>
  <c r="P590" i="3"/>
  <c r="P471" i="3"/>
  <c r="P128" i="3" l="1"/>
  <c r="P126" i="3" s="1"/>
  <c r="O170" i="3"/>
  <c r="O760" i="3" s="1"/>
  <c r="O475" i="3"/>
  <c r="O316" i="3"/>
  <c r="O761" i="3" s="1"/>
  <c r="O781" i="3"/>
  <c r="O787" i="3"/>
  <c r="P765" i="3"/>
  <c r="O775" i="3"/>
  <c r="P131" i="3"/>
  <c r="AJ40" i="4"/>
  <c r="P591" i="3"/>
  <c r="P769" i="3"/>
  <c r="P767" i="3" l="1"/>
  <c r="O759" i="3"/>
  <c r="AJ34" i="4" s="1"/>
  <c r="AJ81" i="4" s="1"/>
  <c r="AJ87" i="4"/>
  <c r="AJ89" i="4" s="1"/>
  <c r="AJ42" i="4"/>
  <c r="P129" i="3"/>
  <c r="P770" i="3"/>
  <c r="P756" i="3"/>
  <c r="O779" i="3"/>
  <c r="AK35" i="4"/>
  <c r="O782" i="3"/>
  <c r="O762" i="3" l="1"/>
  <c r="AJ32" i="4" s="1"/>
  <c r="P125" i="3"/>
  <c r="AK36" i="4"/>
  <c r="AK82" i="4"/>
  <c r="AJ12" i="4"/>
  <c r="AJ13" i="4"/>
  <c r="P135" i="3" l="1"/>
  <c r="AJ123" i="4"/>
  <c r="AJ79" i="4"/>
  <c r="AJ31" i="4"/>
  <c r="AJ33" i="4"/>
  <c r="AJ80" i="4" s="1"/>
  <c r="AJ60" i="4"/>
  <c r="AJ10" i="4"/>
  <c r="AK83" i="4"/>
  <c r="P792" i="3"/>
  <c r="AJ59" i="4"/>
  <c r="AJ9" i="4"/>
  <c r="AJ8" i="4"/>
  <c r="AJ11" i="4"/>
  <c r="P137" i="3" l="1"/>
  <c r="P139" i="3" s="1"/>
  <c r="AJ57" i="4"/>
  <c r="AJ8" i="5" s="1"/>
  <c r="AJ26" i="4"/>
  <c r="AJ58" i="4"/>
  <c r="AJ124" i="4"/>
  <c r="AJ78" i="4"/>
  <c r="AJ37" i="4"/>
  <c r="AJ55" i="4"/>
  <c r="AJ7" i="5" s="1"/>
  <c r="AJ25" i="4"/>
  <c r="AJ6" i="4"/>
  <c r="AJ53" i="4" s="1"/>
  <c r="AJ6" i="5" s="1"/>
  <c r="AJ56" i="4"/>
  <c r="AJ24" i="4"/>
  <c r="AJ7" i="4"/>
  <c r="AJ54" i="4" s="1"/>
  <c r="P160" i="3" l="1"/>
  <c r="P144" i="3"/>
  <c r="AJ71" i="4"/>
  <c r="AJ11" i="5" s="1"/>
  <c r="AJ22" i="4"/>
  <c r="P742" i="3"/>
  <c r="P143" i="3"/>
  <c r="AJ126" i="4"/>
  <c r="AJ84" i="4"/>
  <c r="AJ127" i="4"/>
  <c r="AJ46" i="4"/>
  <c r="AJ73" i="4"/>
  <c r="AK125" i="4"/>
  <c r="P138" i="3"/>
  <c r="AJ72" i="4"/>
  <c r="AJ23" i="4"/>
  <c r="AJ70" i="4" s="1"/>
  <c r="AJ141" i="4" l="1"/>
  <c r="M14" i="1"/>
  <c r="M36" i="1" s="1"/>
  <c r="P304" i="3"/>
  <c r="P164" i="3"/>
  <c r="P751" i="3"/>
  <c r="AJ93" i="4"/>
  <c r="AJ18" i="5" s="1"/>
  <c r="AJ19" i="5" s="1"/>
  <c r="AJ48" i="4"/>
  <c r="AJ95" i="4" s="1"/>
  <c r="AJ69" i="4"/>
  <c r="AJ118" i="4" s="1"/>
  <c r="M12" i="1"/>
  <c r="P583" i="3"/>
  <c r="P463" i="3"/>
  <c r="AJ12" i="5"/>
  <c r="AK41" i="4" l="1"/>
  <c r="AK88" i="4" s="1"/>
  <c r="P686" i="3"/>
  <c r="P688" i="3" s="1"/>
  <c r="P689" i="3" s="1"/>
  <c r="P744" i="3"/>
  <c r="P602" i="3"/>
  <c r="P604" i="3" s="1"/>
  <c r="P605" i="3" s="1"/>
  <c r="P623" i="3"/>
  <c r="P625" i="3" s="1"/>
  <c r="P626" i="3" s="1"/>
  <c r="P585" i="3"/>
  <c r="P588" i="3" s="1"/>
  <c r="P586" i="3"/>
  <c r="P649" i="3"/>
  <c r="P651" i="3" s="1"/>
  <c r="P652" i="3" s="1"/>
  <c r="P731" i="3"/>
  <c r="P227" i="3"/>
  <c r="P229" i="3" s="1"/>
  <c r="P260" i="3"/>
  <c r="P262" i="3" s="1"/>
  <c r="P178" i="3"/>
  <c r="P180" i="3" s="1"/>
  <c r="P200" i="3"/>
  <c r="P202" i="3" s="1"/>
  <c r="P166" i="3"/>
  <c r="AJ10" i="5"/>
  <c r="M13" i="1" s="1"/>
  <c r="N30" i="1" s="1"/>
  <c r="AJ143" i="4"/>
  <c r="AK133" i="4"/>
  <c r="AJ130" i="4"/>
  <c r="P732" i="3"/>
  <c r="P377" i="3"/>
  <c r="P379" i="3" s="1"/>
  <c r="P380" i="3" s="1"/>
  <c r="P307" i="3"/>
  <c r="P309" i="3" s="1"/>
  <c r="P800" i="3" s="1"/>
  <c r="P348" i="3"/>
  <c r="P350" i="3" s="1"/>
  <c r="P351" i="3" s="1"/>
  <c r="P324" i="3"/>
  <c r="P326" i="3" s="1"/>
  <c r="P327" i="3" s="1"/>
  <c r="P417" i="3"/>
  <c r="P419" i="3" s="1"/>
  <c r="P420" i="3" s="1"/>
  <c r="P306" i="3"/>
  <c r="P743" i="3"/>
  <c r="P483" i="3"/>
  <c r="P485" i="3" s="1"/>
  <c r="P486" i="3" s="1"/>
  <c r="P466" i="3"/>
  <c r="P508" i="3"/>
  <c r="P510" i="3" s="1"/>
  <c r="P511" i="3" s="1"/>
  <c r="P537" i="3"/>
  <c r="P539" i="3" s="1"/>
  <c r="P540" i="3" s="1"/>
  <c r="P465" i="3"/>
  <c r="P468" i="3" s="1"/>
  <c r="P752" i="3" l="1"/>
  <c r="P496" i="3"/>
  <c r="P494" i="3"/>
  <c r="P492" i="3"/>
  <c r="Q498" i="3" s="1"/>
  <c r="P487" i="3"/>
  <c r="P495" i="3"/>
  <c r="P493" i="3"/>
  <c r="P802" i="3"/>
  <c r="P796" i="3"/>
  <c r="P404" i="3"/>
  <c r="P402" i="3"/>
  <c r="P400" i="3"/>
  <c r="P398" i="3"/>
  <c r="P396" i="3"/>
  <c r="P394" i="3"/>
  <c r="P392" i="3"/>
  <c r="P390" i="3"/>
  <c r="P388" i="3"/>
  <c r="P386" i="3"/>
  <c r="Q407" i="3" s="1"/>
  <c r="P381" i="3"/>
  <c r="P403" i="3"/>
  <c r="P399" i="3"/>
  <c r="P395" i="3"/>
  <c r="P391" i="3"/>
  <c r="P387" i="3"/>
  <c r="P401" i="3"/>
  <c r="P393" i="3"/>
  <c r="P397" i="3"/>
  <c r="P389" i="3"/>
  <c r="P405" i="3"/>
  <c r="P638" i="3"/>
  <c r="P636" i="3"/>
  <c r="P634" i="3"/>
  <c r="P632" i="3"/>
  <c r="P630" i="3"/>
  <c r="Q641" i="3" s="1"/>
  <c r="P637" i="3"/>
  <c r="P633" i="3"/>
  <c r="P627" i="3"/>
  <c r="P639" i="3"/>
  <c r="P635" i="3"/>
  <c r="P631" i="3"/>
  <c r="P741" i="3"/>
  <c r="P188" i="3"/>
  <c r="P186" i="3"/>
  <c r="P189" i="3"/>
  <c r="P185" i="3"/>
  <c r="Q191" i="3" s="1"/>
  <c r="P187" i="3"/>
  <c r="Q169" i="3"/>
  <c r="P789" i="3"/>
  <c r="P296" i="3"/>
  <c r="P294" i="3"/>
  <c r="P292" i="3"/>
  <c r="P290" i="3"/>
  <c r="P288" i="3"/>
  <c r="P286" i="3"/>
  <c r="P284" i="3"/>
  <c r="P282" i="3"/>
  <c r="P280" i="3"/>
  <c r="P278" i="3"/>
  <c r="P276" i="3"/>
  <c r="P274" i="3"/>
  <c r="P272" i="3"/>
  <c r="P270" i="3"/>
  <c r="P268" i="3"/>
  <c r="P295" i="3"/>
  <c r="P291" i="3"/>
  <c r="P287" i="3"/>
  <c r="P283" i="3"/>
  <c r="P279" i="3"/>
  <c r="P275" i="3"/>
  <c r="P271" i="3"/>
  <c r="P267" i="3"/>
  <c r="Q298" i="3" s="1"/>
  <c r="P293" i="3"/>
  <c r="P285" i="3"/>
  <c r="P277" i="3"/>
  <c r="P269" i="3"/>
  <c r="P289" i="3"/>
  <c r="P281" i="3"/>
  <c r="P273" i="3"/>
  <c r="P753" i="3"/>
  <c r="P575" i="3"/>
  <c r="P573" i="3"/>
  <c r="P571" i="3"/>
  <c r="P569" i="3"/>
  <c r="P567" i="3"/>
  <c r="P565" i="3"/>
  <c r="P563" i="3"/>
  <c r="P561" i="3"/>
  <c r="P559" i="3"/>
  <c r="P557" i="3"/>
  <c r="P555" i="3"/>
  <c r="P553" i="3"/>
  <c r="P551" i="3"/>
  <c r="P549" i="3"/>
  <c r="P547" i="3"/>
  <c r="P572" i="3"/>
  <c r="P568" i="3"/>
  <c r="P564" i="3"/>
  <c r="P560" i="3"/>
  <c r="P556" i="3"/>
  <c r="P552" i="3"/>
  <c r="P548" i="3"/>
  <c r="P541" i="3"/>
  <c r="P574" i="3"/>
  <c r="P570" i="3"/>
  <c r="P566" i="3"/>
  <c r="P562" i="3"/>
  <c r="P558" i="3"/>
  <c r="P554" i="3"/>
  <c r="P550" i="3"/>
  <c r="P546" i="3"/>
  <c r="Q577" i="3" s="1"/>
  <c r="P455" i="3"/>
  <c r="P453" i="3"/>
  <c r="P451" i="3"/>
  <c r="P449" i="3"/>
  <c r="P447" i="3"/>
  <c r="P445" i="3"/>
  <c r="P443" i="3"/>
  <c r="P441" i="3"/>
  <c r="P439" i="3"/>
  <c r="P437" i="3"/>
  <c r="P435" i="3"/>
  <c r="P433" i="3"/>
  <c r="P431" i="3"/>
  <c r="P429" i="3"/>
  <c r="P427" i="3"/>
  <c r="P452" i="3"/>
  <c r="P448" i="3"/>
  <c r="P444" i="3"/>
  <c r="P440" i="3"/>
  <c r="P436" i="3"/>
  <c r="P432" i="3"/>
  <c r="P428" i="3"/>
  <c r="P421" i="3"/>
  <c r="P454" i="3"/>
  <c r="P446" i="3"/>
  <c r="P438" i="3"/>
  <c r="P430" i="3"/>
  <c r="P450" i="3"/>
  <c r="P442" i="3"/>
  <c r="P434" i="3"/>
  <c r="P426" i="3"/>
  <c r="Q457" i="3" s="1"/>
  <c r="P248" i="3"/>
  <c r="P246" i="3"/>
  <c r="P244" i="3"/>
  <c r="P242" i="3"/>
  <c r="P240" i="3"/>
  <c r="P238" i="3"/>
  <c r="P236" i="3"/>
  <c r="P234" i="3"/>
  <c r="Q250" i="3" s="1"/>
  <c r="P245" i="3"/>
  <c r="P241" i="3"/>
  <c r="P237" i="3"/>
  <c r="P247" i="3"/>
  <c r="P243" i="3"/>
  <c r="P239" i="3"/>
  <c r="P235" i="3"/>
  <c r="P690" i="3"/>
  <c r="P708" i="3"/>
  <c r="P719" i="3"/>
  <c r="P701" i="3"/>
  <c r="P722" i="3"/>
  <c r="P706" i="3"/>
  <c r="P715" i="3"/>
  <c r="P721" i="3"/>
  <c r="P716" i="3"/>
  <c r="P700" i="3"/>
  <c r="P703" i="3"/>
  <c r="P713" i="3"/>
  <c r="P720" i="3"/>
  <c r="P704" i="3"/>
  <c r="P711" i="3"/>
  <c r="P705" i="3"/>
  <c r="P718" i="3"/>
  <c r="P702" i="3"/>
  <c r="P707" i="3"/>
  <c r="P693" i="3"/>
  <c r="Q724" i="3" s="1"/>
  <c r="P714" i="3"/>
  <c r="P698" i="3"/>
  <c r="P699" i="3"/>
  <c r="P709" i="3"/>
  <c r="P712" i="3"/>
  <c r="P696" i="3"/>
  <c r="P695" i="3"/>
  <c r="P697" i="3"/>
  <c r="P710" i="3"/>
  <c r="P694" i="3"/>
  <c r="P717" i="3"/>
  <c r="P216" i="3"/>
  <c r="P214" i="3"/>
  <c r="P212" i="3"/>
  <c r="P210" i="3"/>
  <c r="P208" i="3"/>
  <c r="P213" i="3"/>
  <c r="P209" i="3"/>
  <c r="P215" i="3"/>
  <c r="P211" i="3"/>
  <c r="P207" i="3"/>
  <c r="Q218" i="3" s="1"/>
  <c r="P612" i="3"/>
  <c r="P610" i="3"/>
  <c r="P606" i="3"/>
  <c r="P611" i="3"/>
  <c r="P609" i="3"/>
  <c r="Q615" i="3" s="1"/>
  <c r="P613" i="3"/>
  <c r="P526" i="3"/>
  <c r="P524" i="3"/>
  <c r="P522" i="3"/>
  <c r="P520" i="3"/>
  <c r="P518" i="3"/>
  <c r="P523" i="3"/>
  <c r="P519" i="3"/>
  <c r="P512" i="3"/>
  <c r="P525" i="3"/>
  <c r="P521" i="3"/>
  <c r="P517" i="3"/>
  <c r="Q528" i="3" s="1"/>
  <c r="P336" i="3"/>
  <c r="P334" i="3"/>
  <c r="P335" i="3"/>
  <c r="P328" i="3"/>
  <c r="P337" i="3"/>
  <c r="P333" i="3"/>
  <c r="Q339" i="3" s="1"/>
  <c r="Q312" i="3"/>
  <c r="Q313" i="3" s="1"/>
  <c r="Q134" i="3" s="1"/>
  <c r="P730" i="3"/>
  <c r="P740" i="3"/>
  <c r="P366" i="3"/>
  <c r="P364" i="3"/>
  <c r="P362" i="3"/>
  <c r="P360" i="3"/>
  <c r="P358" i="3"/>
  <c r="P363" i="3"/>
  <c r="P359" i="3"/>
  <c r="P352" i="3"/>
  <c r="P365" i="3"/>
  <c r="P357" i="3"/>
  <c r="Q368" i="3" s="1"/>
  <c r="P361" i="3"/>
  <c r="N27" i="1"/>
  <c r="N28" i="1" s="1"/>
  <c r="P670" i="3"/>
  <c r="P672" i="3"/>
  <c r="P669" i="3"/>
  <c r="P668" i="3"/>
  <c r="P666" i="3"/>
  <c r="P664" i="3"/>
  <c r="P662" i="3"/>
  <c r="P660" i="3"/>
  <c r="P658" i="3"/>
  <c r="P656" i="3"/>
  <c r="Q677" i="3" s="1"/>
  <c r="P674" i="3"/>
  <c r="P671" i="3"/>
  <c r="P665" i="3"/>
  <c r="P661" i="3"/>
  <c r="P657" i="3"/>
  <c r="P673" i="3"/>
  <c r="P667" i="3"/>
  <c r="P659" i="3"/>
  <c r="P653" i="3"/>
  <c r="P663" i="3"/>
  <c r="P675" i="3"/>
  <c r="P423" i="3" l="1"/>
  <c r="P791" i="3"/>
  <c r="P785" i="3"/>
  <c r="Q764" i="3"/>
  <c r="Q132" i="3"/>
  <c r="P739" i="3"/>
  <c r="P776" i="3"/>
  <c r="P543" i="3"/>
  <c r="P264" i="3"/>
  <c r="Q310" i="3"/>
  <c r="Q758" i="3" s="1"/>
  <c r="P204" i="3"/>
  <c r="P330" i="3"/>
  <c r="P182" i="3"/>
  <c r="P777" i="3"/>
  <c r="P798" i="3"/>
  <c r="P489" i="3"/>
  <c r="Q737" i="3"/>
  <c r="Q141" i="3"/>
  <c r="Q590" i="3"/>
  <c r="P231" i="3"/>
  <c r="Q470" i="3"/>
  <c r="P514" i="3"/>
  <c r="Q167" i="3"/>
  <c r="Q757" i="3" s="1"/>
  <c r="P354" i="3"/>
  <c r="P383" i="3"/>
  <c r="P475" i="3" l="1"/>
  <c r="P316" i="3"/>
  <c r="P761" i="3" s="1"/>
  <c r="P170" i="3"/>
  <c r="P760" i="3" s="1"/>
  <c r="Q765" i="3"/>
  <c r="Q769" i="3"/>
  <c r="Q591" i="3"/>
  <c r="Q140" i="3"/>
  <c r="Q736" i="3"/>
  <c r="Q768" i="3"/>
  <c r="Q471" i="3"/>
  <c r="Q128" i="3"/>
  <c r="P775" i="3"/>
  <c r="Q131" i="3"/>
  <c r="P781" i="3"/>
  <c r="P787" i="3"/>
  <c r="AK40" i="4"/>
  <c r="P759" i="3" l="1"/>
  <c r="AK34" i="4" s="1"/>
  <c r="AK81" i="4" s="1"/>
  <c r="Q756" i="3"/>
  <c r="P779" i="3"/>
  <c r="P782" i="3"/>
  <c r="AK42" i="4"/>
  <c r="AK87" i="4"/>
  <c r="AK89" i="4" s="1"/>
  <c r="AL43" i="4"/>
  <c r="Q767" i="3"/>
  <c r="Q126" i="3"/>
  <c r="AL35" i="4"/>
  <c r="Q129" i="3"/>
  <c r="P762" i="3" l="1"/>
  <c r="AK32" i="4" s="1"/>
  <c r="AL45" i="4"/>
  <c r="AL90" i="4"/>
  <c r="AK12" i="4"/>
  <c r="AL82" i="4"/>
  <c r="Q770" i="3"/>
  <c r="Q125" i="3"/>
  <c r="AK13" i="4"/>
  <c r="Q135" i="3" l="1"/>
  <c r="AK123" i="4"/>
  <c r="AK79" i="4"/>
  <c r="AK31" i="4"/>
  <c r="AK33" i="4"/>
  <c r="AK80" i="4" s="1"/>
  <c r="AL16" i="5"/>
  <c r="AL92" i="4"/>
  <c r="AL36" i="4"/>
  <c r="AK60" i="4"/>
  <c r="AK10" i="4"/>
  <c r="AK59" i="4"/>
  <c r="AK9" i="4"/>
  <c r="AK11" i="4"/>
  <c r="AK8" i="4"/>
  <c r="AK124" i="4" l="1"/>
  <c r="AK78" i="4"/>
  <c r="AK37" i="4"/>
  <c r="AK57" i="4"/>
  <c r="AK8" i="5" s="1"/>
  <c r="AK26" i="4"/>
  <c r="AK55" i="4"/>
  <c r="AK7" i="5" s="1"/>
  <c r="AK25" i="4"/>
  <c r="AK6" i="4"/>
  <c r="AK53" i="4" s="1"/>
  <c r="AK6" i="5" s="1"/>
  <c r="AL83" i="4"/>
  <c r="Q792" i="3"/>
  <c r="AK58" i="4"/>
  <c r="Q137" i="3"/>
  <c r="AK7" i="4"/>
  <c r="AK54" i="4" s="1"/>
  <c r="AK56" i="4"/>
  <c r="AK24" i="4"/>
  <c r="Q139" i="3" l="1"/>
  <c r="Q160" i="3"/>
  <c r="Q144" i="3"/>
  <c r="AK72" i="4"/>
  <c r="AK23" i="4"/>
  <c r="AK70" i="4" s="1"/>
  <c r="AK73" i="4"/>
  <c r="AL125" i="4"/>
  <c r="AK126" i="4"/>
  <c r="AK84" i="4"/>
  <c r="AK127" i="4"/>
  <c r="AK46" i="4"/>
  <c r="AK71" i="4"/>
  <c r="AK11" i="5" s="1"/>
  <c r="AK22" i="4"/>
  <c r="AK69" i="4" l="1"/>
  <c r="AK118" i="4" s="1"/>
  <c r="N12" i="1"/>
  <c r="AK93" i="4"/>
  <c r="AK18" i="5" s="1"/>
  <c r="AK19" i="5" s="1"/>
  <c r="AK48" i="4"/>
  <c r="AK95" i="4" s="1"/>
  <c r="AK12" i="5"/>
  <c r="Q742" i="3"/>
  <c r="Q143" i="3"/>
  <c r="AK141" i="4"/>
  <c r="N14" i="1"/>
  <c r="N36" i="1" s="1"/>
  <c r="Q138" i="3"/>
  <c r="Q304" i="3" l="1"/>
  <c r="Q164" i="3"/>
  <c r="Q583" i="3"/>
  <c r="Q463" i="3"/>
  <c r="AK143" i="4"/>
  <c r="AK10" i="5"/>
  <c r="N13" i="1" s="1"/>
  <c r="O30" i="1" s="1"/>
  <c r="AK130" i="4"/>
  <c r="AL133" i="4"/>
  <c r="Q751" i="3"/>
  <c r="Q743" i="3" l="1"/>
  <c r="Q483" i="3"/>
  <c r="Q485" i="3" s="1"/>
  <c r="Q486" i="3" s="1"/>
  <c r="Q466" i="3"/>
  <c r="Q508" i="3"/>
  <c r="Q510" i="3" s="1"/>
  <c r="Q511" i="3" s="1"/>
  <c r="Q537" i="3"/>
  <c r="Q539" i="3" s="1"/>
  <c r="Q540" i="3" s="1"/>
  <c r="Q465" i="3"/>
  <c r="Q468" i="3" s="1"/>
  <c r="AL41" i="4"/>
  <c r="AL88" i="4" s="1"/>
  <c r="O27" i="1"/>
  <c r="O28" i="1" s="1"/>
  <c r="Q731" i="3"/>
  <c r="Q260" i="3"/>
  <c r="Q262" i="3" s="1"/>
  <c r="Q200" i="3"/>
  <c r="Q202" i="3" s="1"/>
  <c r="Q178" i="3"/>
  <c r="Q180" i="3" s="1"/>
  <c r="Q166" i="3"/>
  <c r="Q227" i="3"/>
  <c r="Q229" i="3" s="1"/>
  <c r="Q686" i="3"/>
  <c r="Q688" i="3" s="1"/>
  <c r="Q689" i="3" s="1"/>
  <c r="Q602" i="3"/>
  <c r="Q604" i="3" s="1"/>
  <c r="Q605" i="3" s="1"/>
  <c r="Q623" i="3"/>
  <c r="Q625" i="3" s="1"/>
  <c r="Q626" i="3" s="1"/>
  <c r="Q585" i="3"/>
  <c r="Q588" i="3" s="1"/>
  <c r="Q744" i="3"/>
  <c r="Q586" i="3"/>
  <c r="Q649" i="3"/>
  <c r="Q651" i="3" s="1"/>
  <c r="Q652" i="3" s="1"/>
  <c r="Q732" i="3"/>
  <c r="Q377" i="3"/>
  <c r="Q379" i="3" s="1"/>
  <c r="Q380" i="3" s="1"/>
  <c r="Q307" i="3"/>
  <c r="Q309" i="3" s="1"/>
  <c r="Q800" i="3" s="1"/>
  <c r="Q348" i="3"/>
  <c r="Q350" i="3" s="1"/>
  <c r="Q351" i="3" s="1"/>
  <c r="Q324" i="3"/>
  <c r="Q326" i="3" s="1"/>
  <c r="Q327" i="3" s="1"/>
  <c r="Q417" i="3"/>
  <c r="Q419" i="3" s="1"/>
  <c r="Q420" i="3" s="1"/>
  <c r="Q306" i="3"/>
  <c r="Q789" i="3" l="1"/>
  <c r="Q638" i="3"/>
  <c r="Q636" i="3"/>
  <c r="Q634" i="3"/>
  <c r="Q632" i="3"/>
  <c r="Q630" i="3"/>
  <c r="Q637" i="3"/>
  <c r="Q633" i="3"/>
  <c r="Q627" i="3"/>
  <c r="Q639" i="3"/>
  <c r="Q631" i="3"/>
  <c r="Q635" i="3"/>
  <c r="Q612" i="3"/>
  <c r="Q610" i="3"/>
  <c r="Q606" i="3"/>
  <c r="Q611" i="3"/>
  <c r="Q613" i="3"/>
  <c r="Q609" i="3"/>
  <c r="Q336" i="3"/>
  <c r="Q334" i="3"/>
  <c r="Q335" i="3"/>
  <c r="Q328" i="3"/>
  <c r="Q333" i="3"/>
  <c r="Q337" i="3"/>
  <c r="Q366" i="3"/>
  <c r="Q364" i="3"/>
  <c r="Q362" i="3"/>
  <c r="Q360" i="3"/>
  <c r="Q358" i="3"/>
  <c r="Q363" i="3"/>
  <c r="Q359" i="3"/>
  <c r="Q352" i="3"/>
  <c r="Q365" i="3"/>
  <c r="Q357" i="3"/>
  <c r="Q361" i="3"/>
  <c r="Q215" i="3"/>
  <c r="Q213" i="3"/>
  <c r="Q211" i="3"/>
  <c r="Q209" i="3"/>
  <c r="Q207" i="3"/>
  <c r="Q214" i="3"/>
  <c r="Q210" i="3"/>
  <c r="Q212" i="3"/>
  <c r="Q216" i="3"/>
  <c r="Q208" i="3"/>
  <c r="Q295" i="3"/>
  <c r="Q293" i="3"/>
  <c r="Q291" i="3"/>
  <c r="Q289" i="3"/>
  <c r="Q287" i="3"/>
  <c r="Q285" i="3"/>
  <c r="Q283" i="3"/>
  <c r="Q281" i="3"/>
  <c r="Q279" i="3"/>
  <c r="Q277" i="3"/>
  <c r="Q275" i="3"/>
  <c r="Q273" i="3"/>
  <c r="Q271" i="3"/>
  <c r="Q269" i="3"/>
  <c r="Q267" i="3"/>
  <c r="Q294" i="3"/>
  <c r="Q290" i="3"/>
  <c r="Q286" i="3"/>
  <c r="Q282" i="3"/>
  <c r="Q278" i="3"/>
  <c r="Q274" i="3"/>
  <c r="Q270" i="3"/>
  <c r="Q292" i="3"/>
  <c r="Q284" i="3"/>
  <c r="Q276" i="3"/>
  <c r="Q268" i="3"/>
  <c r="Q288" i="3"/>
  <c r="Q280" i="3"/>
  <c r="Q296" i="3"/>
  <c r="Q272" i="3"/>
  <c r="Q575" i="3"/>
  <c r="Q573" i="3"/>
  <c r="Q571" i="3"/>
  <c r="Q569" i="3"/>
  <c r="Q567" i="3"/>
  <c r="Q565" i="3"/>
  <c r="Q563" i="3"/>
  <c r="Q561" i="3"/>
  <c r="Q559" i="3"/>
  <c r="Q557" i="3"/>
  <c r="Q555" i="3"/>
  <c r="Q553" i="3"/>
  <c r="Q551" i="3"/>
  <c r="Q549" i="3"/>
  <c r="Q547" i="3"/>
  <c r="Q572" i="3"/>
  <c r="Q568" i="3"/>
  <c r="Q564" i="3"/>
  <c r="Q560" i="3"/>
  <c r="Q556" i="3"/>
  <c r="Q552" i="3"/>
  <c r="Q548" i="3"/>
  <c r="Q541" i="3"/>
  <c r="Q574" i="3"/>
  <c r="Q562" i="3"/>
  <c r="Q550" i="3"/>
  <c r="Q570" i="3"/>
  <c r="Q558" i="3"/>
  <c r="Q554" i="3"/>
  <c r="Q546" i="3"/>
  <c r="Q566" i="3"/>
  <c r="Q690" i="3"/>
  <c r="Q708" i="3"/>
  <c r="Q721" i="3"/>
  <c r="Q715" i="3"/>
  <c r="Q722" i="3"/>
  <c r="Q706" i="3"/>
  <c r="Q717" i="3"/>
  <c r="Q707" i="3"/>
  <c r="Q700" i="3"/>
  <c r="Q705" i="3"/>
  <c r="Q720" i="3"/>
  <c r="Q704" i="3"/>
  <c r="Q713" i="3"/>
  <c r="Q699" i="3"/>
  <c r="Q718" i="3"/>
  <c r="Q702" i="3"/>
  <c r="Q709" i="3"/>
  <c r="Q719" i="3"/>
  <c r="Q714" i="3"/>
  <c r="Q698" i="3"/>
  <c r="Q701" i="3"/>
  <c r="Q703" i="3"/>
  <c r="Q712" i="3"/>
  <c r="Q696" i="3"/>
  <c r="Q697" i="3"/>
  <c r="Q695" i="3"/>
  <c r="Q710" i="3"/>
  <c r="Q694" i="3"/>
  <c r="Q693" i="3"/>
  <c r="Q716" i="3"/>
  <c r="Q711" i="3"/>
  <c r="Q496" i="3"/>
  <c r="Q494" i="3"/>
  <c r="Q492" i="3"/>
  <c r="Q487" i="3"/>
  <c r="Q495" i="3"/>
  <c r="Q493" i="3"/>
  <c r="Q189" i="3"/>
  <c r="Q187" i="3"/>
  <c r="Q185" i="3"/>
  <c r="Q188" i="3"/>
  <c r="Q186" i="3"/>
  <c r="Q753" i="3"/>
  <c r="Q802" i="3"/>
  <c r="Q796" i="3"/>
  <c r="Q404" i="3"/>
  <c r="Q402" i="3"/>
  <c r="Q400" i="3"/>
  <c r="Q398" i="3"/>
  <c r="Q396" i="3"/>
  <c r="Q394" i="3"/>
  <c r="Q392" i="3"/>
  <c r="Q390" i="3"/>
  <c r="Q388" i="3"/>
  <c r="Q386" i="3"/>
  <c r="Q381" i="3"/>
  <c r="Q403" i="3"/>
  <c r="Q399" i="3"/>
  <c r="Q395" i="3"/>
  <c r="Q391" i="3"/>
  <c r="Q387" i="3"/>
  <c r="Q401" i="3"/>
  <c r="Q393" i="3"/>
  <c r="Q405" i="3"/>
  <c r="Q397" i="3"/>
  <c r="Q389" i="3"/>
  <c r="Q730" i="3"/>
  <c r="Q740" i="3"/>
  <c r="Q741" i="3"/>
  <c r="Q526" i="3"/>
  <c r="Q524" i="3"/>
  <c r="Q522" i="3"/>
  <c r="Q520" i="3"/>
  <c r="Q518" i="3"/>
  <c r="Q523" i="3"/>
  <c r="Q519" i="3"/>
  <c r="Q512" i="3"/>
  <c r="Q525" i="3"/>
  <c r="Q521" i="3"/>
  <c r="Q517" i="3"/>
  <c r="Q247" i="3"/>
  <c r="Q245" i="3"/>
  <c r="Q243" i="3"/>
  <c r="Q241" i="3"/>
  <c r="Q239" i="3"/>
  <c r="Q237" i="3"/>
  <c r="Q235" i="3"/>
  <c r="Q246" i="3"/>
  <c r="Q242" i="3"/>
  <c r="Q238" i="3"/>
  <c r="Q234" i="3"/>
  <c r="Q240" i="3"/>
  <c r="Q248" i="3"/>
  <c r="Q236" i="3"/>
  <c r="Q244" i="3"/>
  <c r="Q455" i="3"/>
  <c r="Q453" i="3"/>
  <c r="Q451" i="3"/>
  <c r="Q449" i="3"/>
  <c r="Q447" i="3"/>
  <c r="Q445" i="3"/>
  <c r="Q443" i="3"/>
  <c r="Q441" i="3"/>
  <c r="Q439" i="3"/>
  <c r="Q437" i="3"/>
  <c r="Q435" i="3"/>
  <c r="Q433" i="3"/>
  <c r="Q431" i="3"/>
  <c r="Q429" i="3"/>
  <c r="Q427" i="3"/>
  <c r="Q452" i="3"/>
  <c r="Q448" i="3"/>
  <c r="Q444" i="3"/>
  <c r="Q440" i="3"/>
  <c r="Q436" i="3"/>
  <c r="Q432" i="3"/>
  <c r="Q428" i="3"/>
  <c r="Q421" i="3"/>
  <c r="Q454" i="3"/>
  <c r="Q446" i="3"/>
  <c r="Q438" i="3"/>
  <c r="Q430" i="3"/>
  <c r="Q450" i="3"/>
  <c r="Q442" i="3"/>
  <c r="Q434" i="3"/>
  <c r="Q426" i="3"/>
  <c r="Q674" i="3"/>
  <c r="Q672" i="3"/>
  <c r="Q670" i="3"/>
  <c r="Q669" i="3"/>
  <c r="Q668" i="3"/>
  <c r="Q666" i="3"/>
  <c r="Q664" i="3"/>
  <c r="Q662" i="3"/>
  <c r="Q660" i="3"/>
  <c r="Q658" i="3"/>
  <c r="Q656" i="3"/>
  <c r="Q671" i="3"/>
  <c r="Q673" i="3"/>
  <c r="Q675" i="3"/>
  <c r="Q661" i="3"/>
  <c r="Q663" i="3"/>
  <c r="Q653" i="3"/>
  <c r="Q665" i="3"/>
  <c r="Q659" i="3"/>
  <c r="Q657" i="3"/>
  <c r="Q667" i="3"/>
  <c r="Q752" i="3"/>
  <c r="Q182" i="3" l="1"/>
  <c r="Q330" i="3"/>
  <c r="Q739" i="3"/>
  <c r="Q776" i="3"/>
  <c r="Q514" i="3"/>
  <c r="Q383" i="3"/>
  <c r="Q543" i="3"/>
  <c r="Q204" i="3"/>
  <c r="Q489" i="3"/>
  <c r="Q264" i="3"/>
  <c r="Q423" i="3"/>
  <c r="Q231" i="3"/>
  <c r="Q777" i="3"/>
  <c r="Q798" i="3"/>
  <c r="Q354" i="3"/>
  <c r="Q791" i="3"/>
  <c r="Q785" i="3"/>
  <c r="Q316" i="3" l="1"/>
  <c r="Q761" i="3" s="1"/>
  <c r="Q170" i="3"/>
  <c r="Q760" i="3" s="1"/>
  <c r="Q781" i="3"/>
  <c r="Q787" i="3"/>
  <c r="AL40" i="4"/>
  <c r="Q775" i="3"/>
  <c r="Q475" i="3"/>
  <c r="Q759" i="3" l="1"/>
  <c r="AL34" i="4" s="1"/>
  <c r="AL81" i="4" s="1"/>
  <c r="AL42" i="4"/>
  <c r="AL87" i="4"/>
  <c r="AL89" i="4" s="1"/>
  <c r="Q782" i="3"/>
  <c r="Q779" i="3"/>
  <c r="Q762" i="3" l="1"/>
  <c r="AL32" i="4" s="1"/>
  <c r="AL13" i="4"/>
  <c r="AL12" i="4"/>
  <c r="AL59" i="4" l="1"/>
  <c r="AL9" i="4"/>
  <c r="AL11" i="4"/>
  <c r="AL8" i="4"/>
  <c r="AL60" i="4"/>
  <c r="AL10" i="4"/>
  <c r="AL123" i="4"/>
  <c r="AL79" i="4"/>
  <c r="AL33" i="4"/>
  <c r="AL80" i="4" s="1"/>
  <c r="AL31" i="4"/>
  <c r="AL124" i="4" l="1"/>
  <c r="AL78" i="4"/>
  <c r="AL37" i="4"/>
  <c r="AL58" i="4"/>
  <c r="AL56" i="4"/>
  <c r="AL7" i="4"/>
  <c r="AL54" i="4" s="1"/>
  <c r="AL24" i="4"/>
  <c r="AL57" i="4"/>
  <c r="AL8" i="5" s="1"/>
  <c r="AL26" i="4"/>
  <c r="AL55" i="4"/>
  <c r="AL7" i="5" s="1"/>
  <c r="AL6" i="4"/>
  <c r="AL53" i="4" s="1"/>
  <c r="AL6" i="5" s="1"/>
  <c r="AL25" i="4"/>
  <c r="AL72" i="4" l="1"/>
  <c r="AL23" i="4"/>
  <c r="AL70" i="4" s="1"/>
  <c r="AL71" i="4"/>
  <c r="AL11" i="5" s="1"/>
  <c r="AL22" i="4"/>
  <c r="AL73" i="4"/>
  <c r="AL127" i="4"/>
  <c r="AL84" i="4"/>
  <c r="AL46" i="4"/>
  <c r="AL126" i="4"/>
  <c r="AL12" i="5" l="1"/>
  <c r="AL93" i="4"/>
  <c r="AL18" i="5" s="1"/>
  <c r="AL19" i="5" s="1"/>
  <c r="AL48" i="4"/>
  <c r="AL95" i="4" s="1"/>
  <c r="AL141" i="4"/>
  <c r="O14" i="1"/>
  <c r="O36" i="1" s="1"/>
  <c r="AL69" i="4"/>
  <c r="AL118" i="4" s="1"/>
  <c r="O12" i="1"/>
  <c r="AL10" i="5" l="1"/>
  <c r="O13" i="1" s="1"/>
  <c r="AL143" i="4"/>
  <c r="AL130" i="4"/>
  <c r="F53" i="2" l="1"/>
  <c r="AL112" i="4" l="1"/>
  <c r="AL134" i="4" s="1"/>
  <c r="AK112" i="4"/>
  <c r="AK142" i="4" s="1"/>
  <c r="AJ112" i="4"/>
  <c r="AJ134" i="4" s="1"/>
  <c r="AI112" i="4"/>
  <c r="AI142" i="4" s="1"/>
  <c r="AH112" i="4"/>
  <c r="AH134" i="4" s="1"/>
  <c r="AD112" i="4"/>
  <c r="AD134" i="4" s="1"/>
  <c r="AB112" i="4"/>
  <c r="AB134" i="4" s="1"/>
  <c r="AA112" i="4"/>
  <c r="D37" i="1" s="1"/>
  <c r="AF112" i="4"/>
  <c r="AF134" i="4" s="1"/>
  <c r="AE112" i="4"/>
  <c r="AE142" i="4" s="1"/>
  <c r="AG112" i="4"/>
  <c r="J37" i="1" s="1"/>
  <c r="F10" i="3"/>
  <c r="G10" i="3" s="1"/>
  <c r="H10" i="3" s="1"/>
  <c r="I10" i="3" s="1"/>
  <c r="J10" i="3" s="1"/>
  <c r="K10" i="3" s="1"/>
  <c r="L10" i="3" s="1"/>
  <c r="M10" i="3" s="1"/>
  <c r="N10" i="3" s="1"/>
  <c r="O10" i="3" s="1"/>
  <c r="P10" i="3" s="1"/>
  <c r="Q10" i="3" s="1"/>
  <c r="AC112" i="4"/>
  <c r="AC132" i="4" s="1"/>
  <c r="AI134" i="4" l="1"/>
  <c r="AE134" i="4"/>
  <c r="AA134" i="4"/>
  <c r="AK134" i="4"/>
  <c r="AF132" i="4"/>
  <c r="AG134" i="4"/>
  <c r="AD136" i="4"/>
  <c r="AC142" i="4"/>
  <c r="AC136" i="4"/>
  <c r="F37" i="1"/>
  <c r="F39" i="1" s="1"/>
  <c r="F41" i="1" s="1"/>
  <c r="F42" i="1" s="1"/>
  <c r="G37" i="1"/>
  <c r="AG136" i="4"/>
  <c r="AA132" i="4"/>
  <c r="AD132" i="4"/>
  <c r="AD142" i="4"/>
  <c r="AC134" i="4"/>
  <c r="AC138" i="4" s="1"/>
  <c r="AG142" i="4"/>
  <c r="D39" i="1"/>
  <c r="D41" i="1" s="1"/>
  <c r="D42" i="1" s="1"/>
  <c r="D38" i="1"/>
  <c r="J38" i="1"/>
  <c r="J39" i="1"/>
  <c r="J41" i="1" s="1"/>
  <c r="J42" i="1" s="1"/>
  <c r="AF136" i="4"/>
  <c r="AB136" i="4"/>
  <c r="AB142" i="4"/>
  <c r="AL132" i="4"/>
  <c r="E37" i="1"/>
  <c r="I37" i="1"/>
  <c r="K37" i="1"/>
  <c r="M37" i="1"/>
  <c r="AJ132" i="4"/>
  <c r="AJ138" i="4" s="1"/>
  <c r="AA136" i="4"/>
  <c r="AJ142" i="4"/>
  <c r="AA142" i="4"/>
  <c r="AG132" i="4"/>
  <c r="O37" i="1"/>
  <c r="AF142" i="4"/>
  <c r="AB132" i="4"/>
  <c r="H37" i="1"/>
  <c r="AH136" i="4"/>
  <c r="AH132" i="4"/>
  <c r="AJ136" i="4"/>
  <c r="AL136" i="4"/>
  <c r="AE136" i="4"/>
  <c r="AE132" i="4"/>
  <c r="AE138" i="4" s="1"/>
  <c r="AH142" i="4"/>
  <c r="AL142" i="4"/>
  <c r="L37" i="1"/>
  <c r="N37" i="1"/>
  <c r="AI136" i="4"/>
  <c r="AI132" i="4"/>
  <c r="AI138" i="4" s="1"/>
  <c r="AK136" i="4"/>
  <c r="AK132" i="4"/>
  <c r="AK138" i="4" l="1"/>
  <c r="AD138" i="4"/>
  <c r="AG138" i="4"/>
  <c r="AF138" i="4"/>
  <c r="F38" i="1"/>
  <c r="G39" i="1"/>
  <c r="G41" i="1" s="1"/>
  <c r="G42" i="1" s="1"/>
  <c r="G38" i="1"/>
  <c r="AA138" i="4"/>
  <c r="M39" i="1"/>
  <c r="M41" i="1" s="1"/>
  <c r="M42" i="1" s="1"/>
  <c r="M38" i="1"/>
  <c r="E38" i="1"/>
  <c r="E39" i="1"/>
  <c r="E41" i="1" s="1"/>
  <c r="E42" i="1" s="1"/>
  <c r="I39" i="1"/>
  <c r="I41" i="1" s="1"/>
  <c r="I42" i="1" s="1"/>
  <c r="I38" i="1"/>
  <c r="H39" i="1"/>
  <c r="H41" i="1" s="1"/>
  <c r="H42" i="1" s="1"/>
  <c r="H38" i="1"/>
  <c r="AB138" i="4"/>
  <c r="K38" i="1"/>
  <c r="K39" i="1"/>
  <c r="K41" i="1" s="1"/>
  <c r="K42" i="1" s="1"/>
  <c r="O39" i="1"/>
  <c r="O41" i="1" s="1"/>
  <c r="O42" i="1" s="1"/>
  <c r="O38" i="1"/>
  <c r="N38" i="1"/>
  <c r="N39" i="1"/>
  <c r="N41" i="1" s="1"/>
  <c r="N42" i="1" s="1"/>
  <c r="AL138" i="4"/>
  <c r="L38" i="1"/>
  <c r="L39" i="1"/>
  <c r="L41" i="1" s="1"/>
  <c r="L42" i="1" s="1"/>
  <c r="AH1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Lopez</author>
    <author>Johanna López</author>
  </authors>
  <commentList>
    <comment ref="E95" authorId="0" shapeId="0" xr:uid="{385A93AA-AFC4-1D44-9C20-6E1CE1C6D8B9}">
      <text>
        <r>
          <rPr>
            <b/>
            <sz val="10"/>
            <color rgb="FF000000"/>
            <rFont val="Tahoma"/>
            <family val="2"/>
          </rPr>
          <t>Johanna Lopez:</t>
        </r>
        <r>
          <rPr>
            <sz val="10"/>
            <color rgb="FF000000"/>
            <rFont val="Tahoma"/>
            <family val="2"/>
          </rPr>
          <t xml:space="preserve">
</t>
        </r>
        <r>
          <rPr>
            <sz val="10"/>
            <color rgb="FF000000"/>
            <rFont val="Tahoma"/>
            <family val="2"/>
          </rPr>
          <t>https://www.irc.gov.co/webcenter/ShowProperty?nodeId=%2FConexionContent%2FWCC_CLUSTER-224033%2F%2FidcPrimaryFile&amp;revision=latestreleased</t>
        </r>
      </text>
    </comment>
    <comment ref="F151" authorId="1" shapeId="0" xr:uid="{ABAF6DCA-CF94-1046-A5B2-DFB9DEF1F574}">
      <text>
        <r>
          <rPr>
            <sz val="10"/>
            <color rgb="FF000000"/>
            <rFont val="Tahoma"/>
            <family val="2"/>
          </rPr>
          <t>Aquí debe incluirse la distribución entre COP y UVR consistente con las amortizaciones del FyU del MFPM o PF.</t>
        </r>
      </text>
    </comment>
    <comment ref="G151" authorId="1" shapeId="0" xr:uid="{739EC833-691C-594C-8D7C-C9BC7FB3CA2D}">
      <text>
        <r>
          <rPr>
            <sz val="10"/>
            <color rgb="FF000000"/>
            <rFont val="Tahoma"/>
            <family val="2"/>
          </rPr>
          <t>Aquí debe incluirse la distribución entre COP y UVR consistente con las amortizaciones del FyU del MFPM o PF.</t>
        </r>
      </text>
    </comment>
    <comment ref="K151" authorId="1" shapeId="0" xr:uid="{E94E6BDA-52BF-4C48-AA4F-62C1A9D142F4}">
      <text>
        <r>
          <rPr>
            <sz val="10"/>
            <color rgb="FF000000"/>
            <rFont val="Tahoma"/>
            <family val="2"/>
          </rPr>
          <t>Aquí se presenta un valor negativo que puede deberse a un efecto de valoración del saldo al vencimiento de los UVR. En la medida que es un valor menor, no afecta los resultados del modelo.</t>
        </r>
      </text>
    </comment>
    <comment ref="Q151" authorId="1" shapeId="0" xr:uid="{28488F1B-59FF-E043-B176-4313BC20598C}">
      <text>
        <r>
          <rPr>
            <sz val="10"/>
            <color rgb="FF000000"/>
            <rFont val="Tahoma"/>
            <family val="2"/>
          </rPr>
          <t>Aquí se presenta un valor negativo que puede deberse a un efecto de valoración del saldo al vencimiento de los UVR. En la medida que es un valor menor, no afecta los resultados del modelo.</t>
        </r>
      </text>
    </comment>
    <comment ref="F152" authorId="1" shapeId="0" xr:uid="{A2DC1CC5-3100-A147-A438-9E6EBD0542A8}">
      <text>
        <r>
          <rPr>
            <sz val="10"/>
            <color rgb="FF000000"/>
            <rFont val="Tahoma"/>
            <family val="2"/>
          </rPr>
          <t>Aquí debe incluirse la distribución entre COP y UVR consistente con las amortizaciones del FyU del MFPM o PF.</t>
        </r>
      </text>
    </comment>
    <comment ref="G152" authorId="1" shapeId="0" xr:uid="{667008C0-6A1F-0942-A794-77A1D0368B9F}">
      <text>
        <r>
          <rPr>
            <sz val="10"/>
            <color rgb="FF000000"/>
            <rFont val="Tahoma"/>
            <family val="2"/>
          </rPr>
          <t>Aquí debe incluirse la distribución entre COP y UVR consistente con las amortizaciones del FyU del MFPM o PF.</t>
        </r>
      </text>
    </comment>
    <comment ref="H152" authorId="1" shapeId="0" xr:uid="{23930975-1160-1D40-99CE-1D8BF89FF009}">
      <text>
        <r>
          <rPr>
            <sz val="10"/>
            <color rgb="FF000000"/>
            <rFont val="Tahoma"/>
            <family val="2"/>
          </rPr>
          <t>En esta fila es necesario detallar las amortizaciones de TES UVR. Esta formulada para reflejar los vencimientos tal cual el perfil de deuda a 31 de diciembre de 2023. Si se quiere se puede ajustar asumiendo un perfil de amortizaciones diferente, según el escenario que se quiera modelar.</t>
        </r>
      </text>
    </comment>
  </commentList>
</comments>
</file>

<file path=xl/sharedStrings.xml><?xml version="1.0" encoding="utf-8"?>
<sst xmlns="http://schemas.openxmlformats.org/spreadsheetml/2006/main" count="851" uniqueCount="418">
  <si>
    <t>Cumplimiento de la regla fiscal</t>
  </si>
  <si>
    <t>Supuestos</t>
  </si>
  <si>
    <t>En esta hoja el usuario puede simular el cumplimiento de las metas de la regla fiscal a partir del resultado de la deuda neta proyectada en la herramienta. Para ello se deben contrastar los resultados proyectados del Balance Primario Neto Estructural (BPNE) con el valor del BPNE requerido por la regla fiscal. Recuerde que entre 2022 y 2025 la regla fiscal tiene una metas de transición mientras que a partir de 2026, la meta se calcula a partir de la deuda observada en el periodo anterior.</t>
  </si>
  <si>
    <t>Según la Ley 1473 de 2011, modificada por la Ley 2155 de 2021, las metas de la regla fiscal, definidas en términos del Balance Primario Neto Estructural (BPNE) son:</t>
  </si>
  <si>
    <t>Entre 2022 y 2025, el BPNE del GNC (en % del PIB) no podrá ser inferior que:
-4,7% del PIB en 2022
-1,4% del PIB en 2023
-0,2% del PIB en 2024
0,5% del PIB en 2025</t>
  </si>
  <si>
    <t>De 2026 en adelante, el BPNE no podrá ser inferior a:</t>
  </si>
  <si>
    <t>Escenario de deuda neta del GNC</t>
  </si>
  <si>
    <t>(% del PIB)</t>
  </si>
  <si>
    <t>CONCEPTO</t>
  </si>
  <si>
    <t>Tasa implícita total</t>
  </si>
  <si>
    <t>Ancla</t>
  </si>
  <si>
    <t>Límite</t>
  </si>
  <si>
    <t>Ciclo económico</t>
  </si>
  <si>
    <t>Ciclo petrolero</t>
  </si>
  <si>
    <t>Transacciones de única vez</t>
  </si>
  <si>
    <t>Rendimientos financieros</t>
  </si>
  <si>
    <t>Meta de la regla (BPNE)</t>
  </si>
  <si>
    <t>Ajuste (-) o excedente (+)</t>
  </si>
  <si>
    <t>Meta de la regla con fórmula</t>
  </si>
  <si>
    <t>Meta de la regla en transición</t>
  </si>
  <si>
    <t>Concepto</t>
  </si>
  <si>
    <t>r-g</t>
  </si>
  <si>
    <t>(r-g)/(1+g)</t>
  </si>
  <si>
    <t>BPNE</t>
  </si>
  <si>
    <t>Balance primario requerido para estabilizar la deuda</t>
  </si>
  <si>
    <t>r</t>
  </si>
  <si>
    <t>Diferencia</t>
  </si>
  <si>
    <t xml:space="preserve">Perfil de vencimientos </t>
  </si>
  <si>
    <t>Perfil de Vencimientos - deuda interna</t>
  </si>
  <si>
    <t>(COP millones)</t>
  </si>
  <si>
    <t>Fecha corte</t>
  </si>
  <si>
    <t>Período de servicio</t>
  </si>
  <si>
    <t>Amortizaciones</t>
  </si>
  <si>
    <t>Intereses</t>
  </si>
  <si>
    <t>Total</t>
  </si>
  <si>
    <t>Perfil de Vencimientos - deuda externa</t>
  </si>
  <si>
    <t>(UDS millones)</t>
  </si>
  <si>
    <t>Fuentes y Usos</t>
  </si>
  <si>
    <t>FUENTES</t>
  </si>
  <si>
    <t>US$</t>
  </si>
  <si>
    <t>USOS</t>
  </si>
  <si>
    <t>Desembolsos</t>
  </si>
  <si>
    <t>Déficit a Financiar</t>
  </si>
  <si>
    <t>Detalle de los intereses internos</t>
  </si>
  <si>
    <t>Externos</t>
  </si>
  <si>
    <t>De los cuales:</t>
  </si>
  <si>
    <t>Intereses Caja</t>
  </si>
  <si>
    <t>Intereses Internos</t>
  </si>
  <si>
    <t>Causaciones</t>
  </si>
  <si>
    <t>Internos</t>
  </si>
  <si>
    <t>Intereses Externos</t>
  </si>
  <si>
    <t>(Prima)/Descuento</t>
  </si>
  <si>
    <t>Indexaciones</t>
  </si>
  <si>
    <t>Ajustes por causación</t>
  </si>
  <si>
    <t>Total Int. internos</t>
  </si>
  <si>
    <t>Externas</t>
  </si>
  <si>
    <t>Utilidades BR</t>
  </si>
  <si>
    <t>Internas</t>
  </si>
  <si>
    <t>Operaciones de Tesoreria</t>
  </si>
  <si>
    <t>Pago de Obligaciones (sentencias, salud, otros)</t>
  </si>
  <si>
    <t xml:space="preserve">Disponibilidad Inicial </t>
  </si>
  <si>
    <t>Disponibilidad Final</t>
  </si>
  <si>
    <t>Fuentes y Usos del Financiamiento del GNC 2024</t>
  </si>
  <si>
    <t>Fuente: MFMP 2024.</t>
  </si>
  <si>
    <t>Fuentes y Usos del Financiamiento del GNC 2025</t>
  </si>
  <si>
    <t>Saldo vigente de los TES en UVR</t>
  </si>
  <si>
    <t>Emisiones vigentes</t>
  </si>
  <si>
    <t>Cifras en Millones de Pesos</t>
  </si>
  <si>
    <t>Fecha de corte:</t>
  </si>
  <si>
    <t>UVR:</t>
  </si>
  <si>
    <t>Típo de título</t>
  </si>
  <si>
    <t>Moneda</t>
  </si>
  <si>
    <t>Vencimiento</t>
  </si>
  <si>
    <t>Cotización Obligatoria</t>
  </si>
  <si>
    <t>Plazo (años)</t>
  </si>
  <si>
    <t>Tasa Cupón*</t>
  </si>
  <si>
    <t>Valor Nominal</t>
  </si>
  <si>
    <t>Valor en UVR</t>
  </si>
  <si>
    <t>Año vencimiento</t>
  </si>
  <si>
    <t>UVR</t>
  </si>
  <si>
    <t>X</t>
  </si>
  <si>
    <t>Total Tasa Fija UVR</t>
  </si>
  <si>
    <t>Calculo de las indexaciones</t>
  </si>
  <si>
    <t>Año</t>
  </si>
  <si>
    <t>UVR t-1</t>
  </si>
  <si>
    <t>Saldo TES emitido vigente (en UVR)</t>
  </si>
  <si>
    <t>Supuesto</t>
  </si>
  <si>
    <t>Unidades</t>
  </si>
  <si>
    <t>PIB nominal</t>
  </si>
  <si>
    <t>Nivel (Miles de millones de $ corrientes)</t>
  </si>
  <si>
    <t>Crecimiento (%)</t>
  </si>
  <si>
    <t>PIB real</t>
  </si>
  <si>
    <t>Inflación</t>
  </si>
  <si>
    <t>Anual fin de periodo (%)</t>
  </si>
  <si>
    <t>Cierre</t>
  </si>
  <si>
    <t>Tasa de cambio</t>
  </si>
  <si>
    <t>Cierre ($)</t>
  </si>
  <si>
    <t>Depreciación cierre (%)</t>
  </si>
  <si>
    <t>Promedio ($)</t>
  </si>
  <si>
    <t>Depreciación promedio (%)</t>
  </si>
  <si>
    <t>Composición de la emisión de deuda</t>
  </si>
  <si>
    <t>Interna</t>
  </si>
  <si>
    <t>Externa</t>
  </si>
  <si>
    <t>Composición deuda interna</t>
  </si>
  <si>
    <t>Total interna</t>
  </si>
  <si>
    <t>COP</t>
  </si>
  <si>
    <t>Composición COP</t>
  </si>
  <si>
    <t>TOTAL</t>
  </si>
  <si>
    <t>Tasa de mercado COP por plazo</t>
  </si>
  <si>
    <t>5 años</t>
  </si>
  <si>
    <t>Cupón</t>
  </si>
  <si>
    <t>Rendimiento de mercado</t>
  </si>
  <si>
    <t>Plazo</t>
  </si>
  <si>
    <t>10 años</t>
  </si>
  <si>
    <t>15 años</t>
  </si>
  <si>
    <t>30 años</t>
  </si>
  <si>
    <t>Composición UVR</t>
  </si>
  <si>
    <t>Tasa de mercado UVR por plazo</t>
  </si>
  <si>
    <t>20 años</t>
  </si>
  <si>
    <t>Composición deuda externa</t>
  </si>
  <si>
    <t>Total externa</t>
  </si>
  <si>
    <t>Multilaterales</t>
  </si>
  <si>
    <t>Bonos</t>
  </si>
  <si>
    <t>Composición Multilaterales</t>
  </si>
  <si>
    <t>Tasa de multilaterales</t>
  </si>
  <si>
    <t>Tasa</t>
  </si>
  <si>
    <t>Composición Externa Bonos</t>
  </si>
  <si>
    <t>Tasa de bonos externos USD por plazo</t>
  </si>
  <si>
    <t>5 años / Vencimiento</t>
  </si>
  <si>
    <t>10 años / Vencimiento</t>
  </si>
  <si>
    <t>30 años / Vencimiento</t>
  </si>
  <si>
    <t>Cupones ponderados</t>
  </si>
  <si>
    <t>Interno ponderado</t>
  </si>
  <si>
    <t>Externo ponderado</t>
  </si>
  <si>
    <t>Rendimiento ponderado</t>
  </si>
  <si>
    <t>Balance primario</t>
  </si>
  <si>
    <t>% del PIB</t>
  </si>
  <si>
    <t>Pagarés</t>
  </si>
  <si>
    <t>Cuentas por pagar</t>
  </si>
  <si>
    <t>Cuenta única nacional (CUN)</t>
  </si>
  <si>
    <t>Activos financieros</t>
  </si>
  <si>
    <t>Internos (% del PIB)</t>
  </si>
  <si>
    <t>Externos (% del PIB)</t>
  </si>
  <si>
    <t>Reconocimiento de pasivos</t>
  </si>
  <si>
    <t>Nivel</t>
  </si>
  <si>
    <t>Nueva deuda a emitir</t>
  </si>
  <si>
    <t>$ millones</t>
  </si>
  <si>
    <t>Balance primario (signo invertido)</t>
  </si>
  <si>
    <t>Por deuda externa</t>
  </si>
  <si>
    <t>Vigente</t>
  </si>
  <si>
    <t>Modelo</t>
  </si>
  <si>
    <t>Por deuda interna</t>
  </si>
  <si>
    <t>Por indexaciones (TES B)</t>
  </si>
  <si>
    <t>Balance total</t>
  </si>
  <si>
    <t>Balance a financiar (nuevas emisiones)</t>
  </si>
  <si>
    <t>Con deuda interna</t>
  </si>
  <si>
    <t>Nuevas emisiones</t>
  </si>
  <si>
    <t>Amortizaciones modelo</t>
  </si>
  <si>
    <t>Con deuda externa</t>
  </si>
  <si>
    <t>Nuevas emisiones *</t>
  </si>
  <si>
    <t>Emisiones deuda vigente interna</t>
  </si>
  <si>
    <t>Amortizaciones deuda vigente interna</t>
  </si>
  <si>
    <t>De los cuales COP</t>
  </si>
  <si>
    <t>De los cuales UVR</t>
  </si>
  <si>
    <t>Canje de deuda</t>
  </si>
  <si>
    <t>Otras fuentes de financiación (operaciones de Tesorería)</t>
  </si>
  <si>
    <t>Emisiones deuda vigente externa</t>
  </si>
  <si>
    <t>Amortizaciones deuda vigente externa</t>
  </si>
  <si>
    <t>Necesidades de financiamiento</t>
  </si>
  <si>
    <t>TOTAL COP</t>
  </si>
  <si>
    <t>Nuevas emisiones (COP) (déficit y deuda modelo)</t>
  </si>
  <si>
    <t>Emisiones (amortizaciones) deuda vigente (COP)</t>
  </si>
  <si>
    <t>Deuda emitida modelo total (COP)</t>
  </si>
  <si>
    <t>Intereses modelo años anteriores</t>
  </si>
  <si>
    <t>Intereses modelo año corriente</t>
  </si>
  <si>
    <t>Amortizaciones modelo COP</t>
  </si>
  <si>
    <t>Prima/(Descuento)</t>
  </si>
  <si>
    <t>Tasa cupón</t>
  </si>
  <si>
    <t>Yield</t>
  </si>
  <si>
    <t>YTM</t>
  </si>
  <si>
    <t>Ponderación</t>
  </si>
  <si>
    <t>Nuevas emisiones (déficit y deuda modelo)</t>
  </si>
  <si>
    <t>Emisiones deuda vigente</t>
  </si>
  <si>
    <t>Nominal emisión COP</t>
  </si>
  <si>
    <t>Prima/Descuento</t>
  </si>
  <si>
    <t>TOTAL UVR</t>
  </si>
  <si>
    <t>UVR fin de</t>
  </si>
  <si>
    <t>Nuevas emisiones (déficit y deuda modelo) (COP)</t>
  </si>
  <si>
    <t>Nuevas emisiones (UVR)</t>
  </si>
  <si>
    <t>Emisiones (amortizaciones) deuda vigente (UVR)</t>
  </si>
  <si>
    <t>Deuda emitida modelo total (UVR)</t>
  </si>
  <si>
    <t>Intereses modelo años anteriores (COP)</t>
  </si>
  <si>
    <t>Intereses modelo año corriente (COP)</t>
  </si>
  <si>
    <t>Emisiones vigentes modelo (UVR)</t>
  </si>
  <si>
    <t>Indexaciones modelo (COP)</t>
  </si>
  <si>
    <t>Amortizaciones modelo UVR</t>
  </si>
  <si>
    <t>Prima/(Descuento) (COP)</t>
  </si>
  <si>
    <t>Nominal emisión UVR en COP</t>
  </si>
  <si>
    <t>Emisión en unidades UVR</t>
  </si>
  <si>
    <t>Nominal vencimiento UVR en COP</t>
  </si>
  <si>
    <t>Nominal emisión UVR</t>
  </si>
  <si>
    <t>Nominal vencimiento UVR</t>
  </si>
  <si>
    <t>BONOS</t>
  </si>
  <si>
    <t>TRM promedio</t>
  </si>
  <si>
    <t>Nuevas emisiones (déficit y amortizaciones modelo) (COP)</t>
  </si>
  <si>
    <t>Nuevas emisiones (USD)</t>
  </si>
  <si>
    <t>Emisiones (amortizaciones) deuda vigente (USD)</t>
  </si>
  <si>
    <t>Deuda emitida modelo total (USD)</t>
  </si>
  <si>
    <t>Intereses modelo (deuda nueva) (COP)</t>
  </si>
  <si>
    <t>Intereses modelo (deuda nueva) (USD)</t>
  </si>
  <si>
    <t>Amortizaciones modelo USD</t>
  </si>
  <si>
    <t>Prima/Descuento (USD)</t>
  </si>
  <si>
    <t>Emisión nóminal COP</t>
  </si>
  <si>
    <t>Emisión nóminal USD</t>
  </si>
  <si>
    <t>Nominal al vencimiento en COP</t>
  </si>
  <si>
    <t>MULTILATERALES</t>
  </si>
  <si>
    <t>Concepto (millones de pesos)</t>
  </si>
  <si>
    <t>Necesidades de Financiamiento (COP Millones)</t>
  </si>
  <si>
    <t>Deuda Interna</t>
  </si>
  <si>
    <t>Por COP</t>
  </si>
  <si>
    <t>Por UVR</t>
  </si>
  <si>
    <t>Amortizaciones Deuda Vigente</t>
  </si>
  <si>
    <t>Necesidades de Financiamiento - Interna</t>
  </si>
  <si>
    <t>Deuda Externa</t>
  </si>
  <si>
    <t>Por Bonos</t>
  </si>
  <si>
    <t>Por Multilaterales</t>
  </si>
  <si>
    <t>Necesidades de Financiamiento - Externa</t>
  </si>
  <si>
    <t>Pago de Intereses (COP Millones)</t>
  </si>
  <si>
    <t>Deuda Vigente</t>
  </si>
  <si>
    <t>Deuda Emitida Modelo</t>
  </si>
  <si>
    <t>Prima/
Descuento</t>
  </si>
  <si>
    <t>Total Intereses Interna</t>
  </si>
  <si>
    <t>Indexa-ciones</t>
  </si>
  <si>
    <t>Indexaciones Vigentes</t>
  </si>
  <si>
    <t>Indexaciones Modelo</t>
  </si>
  <si>
    <t>Total indexaciones</t>
  </si>
  <si>
    <t>Total Intereses Externa</t>
  </si>
  <si>
    <t>Saldo Total de la Deuda (COP Millones)</t>
  </si>
  <si>
    <t>Otros saldos de deuda</t>
  </si>
  <si>
    <t>Total Deuda interna</t>
  </si>
  <si>
    <t>Total Deuda externa</t>
  </si>
  <si>
    <t>Saldo de la deuda externa (USD millones)</t>
  </si>
  <si>
    <t>Otros Saldos de Deuda</t>
  </si>
  <si>
    <t>Amortizaciones Deuda Vigente en USD</t>
  </si>
  <si>
    <t>Nueva deuda emitida en USD</t>
  </si>
  <si>
    <t>Aumento neto de la deuda en USD</t>
  </si>
  <si>
    <t>Intereses en USD</t>
  </si>
  <si>
    <t>Saldo de la deuda interna indexada (UVR)</t>
  </si>
  <si>
    <t>Deuda indexada</t>
  </si>
  <si>
    <t>Deuda Vigente en UVR</t>
  </si>
  <si>
    <t>Total Deuda interna en UVR</t>
  </si>
  <si>
    <t>Amortizaciones Deuda Vigente en UVR</t>
  </si>
  <si>
    <t>Nueva deuda emitida en UVR</t>
  </si>
  <si>
    <t>Aumento neto de la deuda en UVR</t>
  </si>
  <si>
    <t>RESULTADOS DE LA SIMULACION</t>
  </si>
  <si>
    <t>SALDOS DEUDA TOTAL GNC</t>
  </si>
  <si>
    <t>Miles de Millones de Pesos</t>
  </si>
  <si>
    <t xml:space="preserve">1. Deuda Bruta </t>
  </si>
  <si>
    <t>Deuda Bruta con CUN sin CxP</t>
  </si>
  <si>
    <t xml:space="preserve"> 1.1  Interna (2.1+3+4)</t>
  </si>
  <si>
    <t>Interna con CUN sin CxPagar (2.1+3+CUN)</t>
  </si>
  <si>
    <t xml:space="preserve"> 1.2 Externa (2.2)</t>
  </si>
  <si>
    <t>2. Deuda Financiera</t>
  </si>
  <si>
    <t>2.1 Interna</t>
  </si>
  <si>
    <t>2.2 Externa</t>
  </si>
  <si>
    <t>3. Pagarés</t>
  </si>
  <si>
    <t>4. Cuentas por pagar</t>
  </si>
  <si>
    <t>Cuentas por pagar presupuestales</t>
  </si>
  <si>
    <t>Cuenta Única Nacional</t>
  </si>
  <si>
    <t>Reconocimiento de pasivos - PGN 2019 y PND 2018-2022</t>
  </si>
  <si>
    <t>5. Activos</t>
  </si>
  <si>
    <t>5.1 Internos 1/</t>
  </si>
  <si>
    <t>5.2 Externos</t>
  </si>
  <si>
    <t>6. Deuda neta</t>
  </si>
  <si>
    <t>Deuda Neta con CUN sin CxP</t>
  </si>
  <si>
    <t>Interna con CUN sin CxPagar (neta)</t>
  </si>
  <si>
    <t>Interna (1.1-5.1)</t>
  </si>
  <si>
    <t>Externa (1.2-5.2)</t>
  </si>
  <si>
    <t>Total Intereses Interna con indexaciones</t>
  </si>
  <si>
    <t>Caja</t>
  </si>
  <si>
    <t>De los cuales prima/(descuento)</t>
  </si>
  <si>
    <t>Total Intereses</t>
  </si>
  <si>
    <t>Desembolsos y amortizaciones</t>
  </si>
  <si>
    <t>Desembolsos internos</t>
  </si>
  <si>
    <t>Desembolsos externos</t>
  </si>
  <si>
    <t>Total desembolsos</t>
  </si>
  <si>
    <t>Amortizaciones internas</t>
  </si>
  <si>
    <t>Amortizaciones externas</t>
  </si>
  <si>
    <t>Total amortizaciones</t>
  </si>
  <si>
    <t>Total intereses (sin indexaciones)</t>
  </si>
  <si>
    <t>Balance primario (signo negativo)</t>
  </si>
  <si>
    <t>Como % del PIB</t>
  </si>
  <si>
    <t>1/ A partir de esta fecha de publicación se incluye los pagarés del FEPC con la Tesoreria</t>
  </si>
  <si>
    <t xml:space="preserve">Fuente: DGPM -Ministerio de Hacienda y Crédito Público </t>
  </si>
  <si>
    <t>Descomposición de la dinámica de la deuda</t>
  </si>
  <si>
    <r>
      <t xml:space="preserve">A pesar que la ecuación de la dinámica incluye los principales componentes que determinan la deuda, es posible que se presenten residuos que se capturan en el componente </t>
    </r>
    <r>
      <rPr>
        <b/>
        <i/>
        <sz val="12"/>
        <color rgb="FF4396DB"/>
        <rFont val="Helvetica"/>
        <family val="2"/>
      </rPr>
      <t>sfa</t>
    </r>
    <r>
      <rPr>
        <sz val="11"/>
        <color theme="1"/>
        <rFont val="Helvetica"/>
        <family val="2"/>
      </rPr>
      <t xml:space="preserve">. Una forma de entender el componente de </t>
    </r>
    <r>
      <rPr>
        <b/>
        <i/>
        <sz val="12"/>
        <color rgb="FF4396DB"/>
        <rFont val="Helvetica"/>
        <family val="2"/>
      </rPr>
      <t>sfa</t>
    </r>
    <r>
      <rPr>
        <sz val="11"/>
        <color theme="1"/>
        <rFont val="Helvetica"/>
        <family val="2"/>
      </rPr>
      <t xml:space="preserve"> es considerarlos como operaciones por debajo de la línea, es decir, flujos fiscales que generan pasivos adicionales y no generados directamente por el gasto público, a diferencia de las operaciones por encima de la línea. Ejemplo de ello pueden ser: transferencias a empresas estatales en dificultades o materialización de garantías, materialización de pasivos contingentes (por ejemplo, garantías o rescates), reestructuraciones de deuda, que aumentan los </t>
    </r>
    <r>
      <rPr>
        <b/>
        <i/>
        <sz val="12"/>
        <color rgb="FF4396DB"/>
        <rFont val="Helvetica"/>
        <family val="2"/>
      </rPr>
      <t>sfa</t>
    </r>
    <r>
      <rPr>
        <sz val="11"/>
        <color theme="1"/>
        <rFont val="Helvetica"/>
        <family val="2"/>
      </rPr>
      <t xml:space="preserve">, o cancelaciones de deuda o privatizaciones que reducen el </t>
    </r>
    <r>
      <rPr>
        <b/>
        <i/>
        <sz val="12"/>
        <color rgb="FF4396DB"/>
        <rFont val="Helvetica"/>
        <family val="2"/>
      </rPr>
      <t>sfa</t>
    </r>
    <r>
      <rPr>
        <sz val="11"/>
        <color theme="1"/>
        <rFont val="Helvetica"/>
        <family val="2"/>
      </rPr>
      <t>. Otra razón que puede explicar los residuos son cambios metodológicos en las estadísticas de deuda.</t>
    </r>
  </si>
  <si>
    <t>Otra fuente que se puede consultar para ahondar el análisis de la dinámica de la deuda es el documento "Staff guidance note on the sovereign risk and debt sustainability framework for market access countries" disponible en: https://www.imf.org/external/np/pp/eng/2013/050913.pdf</t>
  </si>
  <si>
    <t>Variables</t>
  </si>
  <si>
    <t>PIB Interno Nominal ($ Miles de millones)</t>
  </si>
  <si>
    <t>Tasa de crecimiento nominal (%)</t>
  </si>
  <si>
    <t>Tasa de crecimiento real (%)</t>
  </si>
  <si>
    <t>Inflación (%)</t>
  </si>
  <si>
    <t>TRM cierre</t>
  </si>
  <si>
    <t>Depreciación fin de</t>
  </si>
  <si>
    <t>Depreciación promedio</t>
  </si>
  <si>
    <t>Participación de la deuda externa</t>
  </si>
  <si>
    <t>Balance primario (% del PIB)</t>
  </si>
  <si>
    <t>Tasa interna modelo</t>
  </si>
  <si>
    <t>Tasa externa modelo</t>
  </si>
  <si>
    <t>Cupón ponderado modelo</t>
  </si>
  <si>
    <t>Tasa de interés implícita interna (sin indexaciones)</t>
  </si>
  <si>
    <t>Tasa de interés implícita interna total</t>
  </si>
  <si>
    <t>Tasa de interés implícita externa</t>
  </si>
  <si>
    <t>Tasa de interés implícita total</t>
  </si>
  <si>
    <t>Tasa de interés implícita total sin indexaciones</t>
  </si>
  <si>
    <t>Dinámica de la deuda</t>
  </si>
  <si>
    <t>Variación total de la deuda</t>
  </si>
  <si>
    <t>Contribuciones:</t>
  </si>
  <si>
    <t>Crecimiento real</t>
  </si>
  <si>
    <t>Flujo de activos financieros</t>
  </si>
  <si>
    <t>Ajuste (flujo-saldo)</t>
  </si>
  <si>
    <t>Crec. % de la deuda</t>
  </si>
  <si>
    <t>Informativo</t>
  </si>
  <si>
    <t>Tasas MFMP</t>
  </si>
  <si>
    <t>Cupón interno MHCP</t>
  </si>
  <si>
    <t>Cupón externo MHCP</t>
  </si>
  <si>
    <t>En esta pestaña encuentra los gráficos de los principales resultados de la herramienta: La deuda bruta, la deuda neta, las necesidades de financiamiento y las tasas de interés.</t>
  </si>
  <si>
    <t>Proyecciones</t>
  </si>
  <si>
    <t>Deuda bruta proyectada</t>
  </si>
  <si>
    <t>MFMP 2024</t>
  </si>
  <si>
    <t>Deuda neta proyectada</t>
  </si>
  <si>
    <t>Intereses (sin indexaciones)</t>
  </si>
  <si>
    <t>HERRAMIENTA PARA LA PROYECCIÓN DE LA DEUDA DEL GOBIERNO NACIONAL CENTRAL EN EL MEDIANO PLAZO</t>
  </si>
  <si>
    <t>Objetivo de la herramienta:</t>
  </si>
  <si>
    <t xml:space="preserve">Con el fin de contar con una herramienta consistente con la metodología oficial de cálculo de la deuda neta y con las proyecciones del GNC, el CARF pone a disposición del público este instrumento, el cual se elaboró a partir del modelo de proyección de la Dirección de Política Macroeconómica del Ministerio de Hacienda y Crédito Público (MHCP). Gracias al insumo suministrado por el MHCP, la Dirección Técnica del CARF propone una simplificación de algunos procesos de cálculo y agrega algunas funcionalidades para el análisis de la deuda neta del GNC. Adicionalmente, la herramienta se acompaña de una guía para orientar potenciales usuarios sobre las fuentes de información para la proyección y análisis de la deuda del GNC. </t>
  </si>
  <si>
    <t>Estructura del archivo:</t>
  </si>
  <si>
    <t>Instrucciones para el uso del modelo:</t>
  </si>
  <si>
    <t>Advertencias:</t>
  </si>
  <si>
    <t>La presente herramienta es un instrumento analítico que no compromete las opiniones o pronunciamientos del CARF ni de las entidades que colaboraron con insumos para su construcción. Los resultados arrojados por la herramienta no son una proyección oficial ni debe ser utilizada para la toma de decisiones o transacciones financieras pues solo tiene fines analíticos, pedagógicos e informativos. El uso e interpretación de la información resultado de la herramienta, es responsabilidad exclusiva del usuario o receptor.</t>
  </si>
  <si>
    <t>Agradecimientos:</t>
  </si>
  <si>
    <t xml:space="preserve">Se agradece al Ministerio de Hacienda y Crédito Público por el insumo inicial provisto al CARF y por las discusiones sobre el mismo. También se agradece al equipo técnico del Banco de la República por los comentarios y colaboración para el desarrollo de algunas secciones de la herramienta. </t>
  </si>
  <si>
    <r>
      <rPr>
        <b/>
        <sz val="11"/>
        <color rgb="FF4074C8"/>
        <rFont val="Helvetica"/>
        <family val="2"/>
      </rPr>
      <t xml:space="preserve">Nota para el usuario: </t>
    </r>
    <r>
      <rPr>
        <sz val="11"/>
        <color rgb="FF4074C8"/>
        <rFont val="Helvetica"/>
        <family val="2"/>
      </rPr>
      <t>Actualizar con la información del archivo del Perfil de la Deuda de la web de Ministerio de Hacienda y Crédito Público. Para la deuda externa se toman los valores en dólares y se convierten en pesos con la tasa de cambio que se utilice para las proyecciones</t>
    </r>
  </si>
  <si>
    <t>En esta hoja se incluye el perfil de vencimientos de la deuda ya emitida por el gobierno (vigente). Con las amortizaciones de esta hoja se proyecta cómo la deuda actual se va a ir reduciendo en la medida que el gobierno amortice la deuda interna y externa. El modelo proyecta el año en curso, por lo que se recomienda utilizar el perfil del cierre de la vigencia anterior. Si se utiliza un perfil más reciente, debe revisarse que no se duplique la emisión de deuda. Se incluye el perfil de vencimientos con corte a 31 de diciembre de 2023.</t>
  </si>
  <si>
    <t>En esta sección se debe incluir el saldo vigente de los TES denominados en UVR con el fin de calcular las indexaciones de estos títulos, es decir, el valor que aumenta el saldo de la deuda debido al aumento de la UVR. Las indexaciones se incluyen como parte de los intereses de la deuda del GNC por lo cual se deben proyectar y sumar a los intereses de caja.</t>
  </si>
  <si>
    <r>
      <t xml:space="preserve">Nota para el usuario: </t>
    </r>
    <r>
      <rPr>
        <sz val="12"/>
        <color rgb="FF4074C8"/>
        <rFont val="Helvetica"/>
        <family val="2"/>
      </rPr>
      <t>Actualizar con la información del archivo de emisiones vigentes del Ministerio de Hacienda y Crédito Público.</t>
    </r>
    <r>
      <rPr>
        <b/>
        <sz val="12"/>
        <color rgb="FF4074C8"/>
        <rFont val="Helvetica"/>
        <family val="2"/>
      </rPr>
      <t xml:space="preserve"> Tenga en cuenta de revisar que la columba J (Valor en UVR) quede consistente con los vencimientos de la deuda.</t>
    </r>
  </si>
  <si>
    <t>Factor de la dinámica de la deuda</t>
  </si>
  <si>
    <t>Deuda neta proyectada (MM de $)</t>
  </si>
  <si>
    <t>Deuda neta proyectada (% del PIB)</t>
  </si>
  <si>
    <t>Bprim requerido</t>
  </si>
  <si>
    <r>
      <rPr>
        <b/>
        <sz val="11"/>
        <color rgb="FF4396DB"/>
        <rFont val="Helvetica"/>
        <family val="2"/>
      </rPr>
      <t>Nota para el usuario:</t>
    </r>
    <r>
      <rPr>
        <sz val="11"/>
        <color rgb="FF4396DB"/>
        <rFont val="Helvetica"/>
        <family val="2"/>
      </rPr>
      <t xml:space="preserve"> El usuario debe incluir los valores de las celdas en naranja. En el MFMP, el MH publicó los valores para los componentes del Escenario del MFMP. Si los reemplaza en esta hoja para evaluar dicho escenario, tenga en cuenta que el cumpliminto de la regla se valida en porcentaje del PIB, a un décimal, con el redondeo aplicado por hojas de cálculo como Excel. Por lo tanto, al incluir valores a un solo decimal, el resultado puede verse afectado al no tener los valores con todos los decimales. Para modelar un escenario propio, recuerde que los calculos de los ciclos, económico y petrolero, deben ser consistentes con el escenario fiscal que se quiera modelar y que debe verse reflejado en el balance primario que se incluya en la hoja de supuestos.</t>
    </r>
  </si>
  <si>
    <t>Comentarios</t>
  </si>
  <si>
    <t>Sí tiene dudas y observaciones sobre la plantilla, dirijalas al correo electrónico: atencionusuario@carf.gov.co</t>
  </si>
  <si>
    <t>En esta hoja se incluye el fuentes y usos proyectado por el Gobierno para la vigencia actual y la vigencia siguiente. De esta hoja, el modelo toma los desembolsos y amortizaciones para la vigencia actual y para la siguiente, según lo proyectado en el MFMP o en el Plan Financiero más reciente.</t>
  </si>
  <si>
    <r>
      <t xml:space="preserve">Bajo la metodología de caja modificada que se aplica actualmente en las cifras fiscales del GNC, los intereses de la deuda incluyen tres conceptos, dos de caja y uno de causación:
</t>
    </r>
    <r>
      <rPr>
        <b/>
        <sz val="11"/>
        <color theme="1"/>
        <rFont val="Helvetica"/>
        <family val="2"/>
      </rPr>
      <t xml:space="preserve">- CAJA: </t>
    </r>
    <r>
      <rPr>
        <sz val="11"/>
        <color theme="1"/>
        <rFont val="Helvetica"/>
        <family val="2"/>
      </rPr>
      <t xml:space="preserve">
   1. Intereses de caja efectivamente pagados: Los cupones que se pagan por la deuda en poder del público.
   2. La prima o descuento en colocación de deuda: Cuando se colocan TES con prima (el gobierno recibe más caja que el valor nóminal de la deuda emítida) o a descuento (el gobierno recibe menos caja que el nominal), ese valor se suma a los intereses. Si hay prima, se reducen los intereses de caja y si hay descuento se aumentan los intereses de caja.
</t>
    </r>
    <r>
      <rPr>
        <b/>
        <sz val="11"/>
        <color theme="1"/>
        <rFont val="Helvetica"/>
        <family val="2"/>
      </rPr>
      <t xml:space="preserve">- CAUSACIÓN: </t>
    </r>
    <r>
      <rPr>
        <sz val="11"/>
        <color theme="1"/>
        <rFont val="Helvetica"/>
        <family val="2"/>
      </rPr>
      <t xml:space="preserve">
   1. Se suman las indexaciones de la deuda en UVR, es decir el efecto de valoración de esta deuda por cuenta del aumento de la UVR.</t>
    </r>
  </si>
  <si>
    <t>Incluya aquí el supuesto de prima/(descuento) en colocación de TES para descontarlo del total de intereses internos y dejar únicamente el componente de caja</t>
  </si>
  <si>
    <t>Nota: Corresponde al cupón promedio de la deuda, publicado por el MHCP en el archivo histórico de la deuda del GNC de la página IRC.</t>
  </si>
  <si>
    <t>r (tasa de interés real)</t>
  </si>
  <si>
    <t>g (crecimiento real)</t>
  </si>
  <si>
    <t>Deuda objetivo</t>
  </si>
  <si>
    <t>En esta tabla puede realizar un análisis de cuál es el balance primario requerido para estabilizar la deuda según el nivel de las tasas de interés y el crecimiento real. En la deuda objetivo puede colocar el nivel al cual quisiera estabilizar la deuda. A modo de ejemplo, se incluye en el cuadro el 55% del PIB que corresponde al ancla de la deuda en la regla fiscal del GNC.</t>
  </si>
  <si>
    <t>Diferencia frente a BP asumido</t>
  </si>
  <si>
    <t>Gráficos de deuda</t>
  </si>
  <si>
    <t>Fuente datos observados: DGPM -Ministerio de Hacienda y Crédito Público (https://www.minhacienda.gov.co/webcenter/portal/EntidadesFinancieras/pages_EntidadesFinancieras/PoliticaFiscal/dgg/deudagobiernonacionalcentral).</t>
  </si>
  <si>
    <t>En esta celda deben quedar los intereses de caja (cupones) que efectivamente se deben financiar en este año</t>
  </si>
  <si>
    <t>https://www.irc.gov.co/webcenter/portal/IRCEs/pages_Deuda/deudainternagnc/emisionvigMensuales/p2023</t>
  </si>
  <si>
    <t>El archivo está organizado en cuatro partes:
1) La hoja azul contiene información externa que es insumo para el modelo, la cual puede ser actualizada por el usuario a partir de información, histórica u observada, públicada por el Ministerio de Hacienda y Crédito Público.
2) La hoja de color gris contiene los supuestos del modelo, así como los calculos intermedios para obtener la deuda proyectada del GNC. El usuario debe indicar los supuestos del modelo en las celdas de color naranja.
3) Las hojas verdes contienen los resultados del modelo, incluyendo las sendas proyectadas de la deuda y la descomposición de la dinámica de la misma.
4) La hoja de color naranja muestra el calculo del cumplimiento de la regla, así como el calculo del balance primario requerido para estabilizar la deuda.</t>
  </si>
  <si>
    <t>1) Actualizar la hoja azul con la última información disponible o la proyección más probable del fuentes y usos del Gobierno Central, el perfil de vencimientos de la deuda pública interna y externa y los saldos de los TES vigentes en UVR.
2) Actualizar en la hoja "Deuda a emitir" los supuestos macroeconómicos y fiscales con la proyección más probable o el escenario que se desea proyectar (incluyendo el balance primario).
3) Revisar las sendas de deuda y los resultados finales de las hojas "Deuda GNC" y "Gráficos de deuda".
4) Incluir en la hoja "Cumplimiento de la regla" los ciclos y TUV para calcular el cumplimiento de la regla fiscal con la deuda simulada en la herramienta.</t>
  </si>
  <si>
    <t>Fuente de la información: https://www.irc.gov.co/webcenter/portal/IRCEs/pages_Deuda/perfildeudapblicagnc/perfildeudapblicagnchistorico</t>
  </si>
  <si>
    <t>El cuadro de "Fuentes y Usos" muestra el origen y el uso de los recursos financieros del gobierno en un período determinado. Este cuadro forma parte de la programación financiera y presupuestal, y sirve para analizar aspectos relacionados con la liquidez y la estructura de la financiación del gobierno. Del lado izquierdo, se encuentran las fuentes que incluyen los desembolsos de crédito y bonos internos y externos, los ajustes de causación que corresponden a rubros causados de intereses (prima/(descuento) en colocación e indexaciones de TES en UVR), las operaciones de tesorería (financiación neta a través de préstamos de corto plazo como los TES de corto plazo y los pagarés de Tesorería) y la disponibilidad inicial en la caja de la Tesorería. Del lado derecho, se encuentran los usos de las fuentes disponibles, que incluyen: el pago del déficit a financiar (incluyendo los intereses), las amortizaciones internas y externas (pagos de capital de las deudas), el pago de otras obligaciones (sentencias o deudas pagadas a través de títulos de deuda) y el saldo final que se deja en caja al final del año.</t>
  </si>
  <si>
    <t>Internos (Miles de millones de $ corrientes)</t>
  </si>
  <si>
    <t>Externos (Miles de millones de $ corrientes)</t>
  </si>
  <si>
    <t>TOTAL (Miles de millones de $ corrientes)</t>
  </si>
  <si>
    <t>Calculo de la senda de deuda a partir de la amortización de la deuda vigente y la acumulación de la deuda nueva</t>
  </si>
  <si>
    <t>Proyección de la deuda</t>
  </si>
  <si>
    <t>En esta hoja se toman los insumos externos y los supuestos de un escenario que se quiera analizar para proyectar la deuda. Primero se determinan las necesidades de financiamiento (Filas 120 a 158). Luego se calcula la deuda por cada tipo de instrumento: TES COP (Filas 161 a 298), TES UVR (filas 299 a 456), Bonos externos (Filas 459 a 576), y Multilaterales (Filas 579 a 723). Finalmente, en las filas 727 a 800 se calcula la senda de deuda total a partir del calculo de la deuda vigente y la deuda nueva.</t>
  </si>
  <si>
    <t>Ir a:</t>
  </si>
  <si>
    <t>Deuda a emitir</t>
  </si>
  <si>
    <t>TES COP</t>
  </si>
  <si>
    <t>TES UVR</t>
  </si>
  <si>
    <t>Deuda total</t>
  </si>
  <si>
    <r>
      <t>En esta sección se realiza una desagregación de la dinámica de la deuda entre sus diferentes factores explicativos. Esta ecuación de acumulación de deuda pública tiene como objetivo identificar las contribuciones de seis variables sobre el cambio en la relación de deuda sobre PIB: 1) el balance primario (</t>
    </r>
    <r>
      <rPr>
        <b/>
        <i/>
        <sz val="12"/>
        <color rgb="FF4396DB"/>
        <rFont val="Helvetica"/>
        <family val="2"/>
      </rPr>
      <t>b</t>
    </r>
    <r>
      <rPr>
        <sz val="11"/>
        <color theme="1"/>
        <rFont val="Helvetica"/>
        <family val="2"/>
      </rPr>
      <t>), 2) el crecimiento real (</t>
    </r>
    <r>
      <rPr>
        <b/>
        <i/>
        <sz val="12"/>
        <color rgb="FF4396DB"/>
        <rFont val="Helvetica"/>
        <family val="2"/>
      </rPr>
      <t>g</t>
    </r>
    <r>
      <rPr>
        <sz val="11"/>
        <color theme="1"/>
        <rFont val="Helvetica"/>
        <family val="2"/>
      </rPr>
      <t>), 3) la tasa de cambio (</t>
    </r>
    <r>
      <rPr>
        <b/>
        <i/>
        <sz val="12"/>
        <color rgb="FF4396DB"/>
        <rFont val="Helvetica"/>
        <family val="2"/>
      </rPr>
      <t>e</t>
    </r>
    <r>
      <rPr>
        <sz val="11"/>
        <color theme="1"/>
        <rFont val="Helvetica"/>
        <family val="2"/>
      </rPr>
      <t>), 4) los pagos de intereses (</t>
    </r>
    <r>
      <rPr>
        <b/>
        <i/>
        <sz val="12"/>
        <color rgb="FF4396DB"/>
        <rFont val="Helvetica"/>
        <family val="2"/>
      </rPr>
      <t>i</t>
    </r>
    <r>
      <rPr>
        <sz val="11"/>
        <color theme="1"/>
        <rFont val="Helvetica"/>
        <family val="2"/>
      </rPr>
      <t>), 5) la inflación (</t>
    </r>
    <r>
      <rPr>
        <b/>
        <i/>
        <sz val="12"/>
        <color rgb="FF4396DB"/>
        <rFont val="Helvetica"/>
        <family val="2"/>
      </rPr>
      <t>𝛑</t>
    </r>
    <r>
      <rPr>
        <sz val="11"/>
        <color theme="1"/>
        <rFont val="Helvetica"/>
        <family val="2"/>
      </rPr>
      <t>) y 6) los ajustes de flujo de existencias (</t>
    </r>
    <r>
      <rPr>
        <b/>
        <i/>
        <sz val="12"/>
        <color rgb="FF4396DB"/>
        <rFont val="Helvetica"/>
        <family val="2"/>
      </rPr>
      <t>sfa</t>
    </r>
    <r>
      <rPr>
        <sz val="11"/>
        <color theme="1"/>
        <rFont val="Helvetica"/>
        <family val="2"/>
      </rPr>
      <t>). Se toma la específicación del documento "Public Debt Decompositions in Emerging Economies: Methodology and Introduction of a Public Access Dashboard" (Humann, 2023). Disponible en: https://findevlab.org/wp-content/uploads/2023/06/FDL_Methodology_Note_Debt_decomposition-.pdf. Adicionalmente, para el caso colombiano dado que se usa la deuda neta, se desagrega también el aporte de los activos financieros (af). La ecuación utilizada es:</t>
    </r>
  </si>
  <si>
    <t>Introducción</t>
  </si>
  <si>
    <t>Cumplimiento de la regla</t>
  </si>
  <si>
    <r>
      <t xml:space="preserve">Esta herramienta permite proyectar la </t>
    </r>
    <r>
      <rPr>
        <b/>
        <sz val="12"/>
        <color rgb="FF4396DB"/>
        <rFont val="Helvetica"/>
        <family val="2"/>
      </rPr>
      <t>deuda neta</t>
    </r>
    <r>
      <rPr>
        <sz val="12"/>
        <color theme="1"/>
        <rFont val="Helvetica"/>
        <family val="2"/>
      </rPr>
      <t xml:space="preserve"> del </t>
    </r>
    <r>
      <rPr>
        <b/>
        <sz val="12"/>
        <color rgb="FF4396DB"/>
        <rFont val="Helvetica"/>
        <family val="2"/>
      </rPr>
      <t>Gobierno Nacional Central</t>
    </r>
    <r>
      <rPr>
        <sz val="12"/>
        <color theme="1"/>
        <rFont val="Helvetica"/>
        <family val="2"/>
      </rPr>
      <t xml:space="preserve"> para el mediano plazo, que corresponde a los próximos 10 años. Esta variable es fundamental para realizar el seguimiento al cumplimiento de la regla fiscal, especialmente a partir de 2026, cuando se acaba la transición y las metas de la regla dependerán del nivel de deuda neta.</t>
    </r>
  </si>
  <si>
    <r>
      <t xml:space="preserve">Según el Ministerio de Hacienda y Crédito Público, la </t>
    </r>
    <r>
      <rPr>
        <b/>
        <sz val="12"/>
        <color rgb="FF4396DB"/>
        <rFont val="Helvetica"/>
        <family val="2"/>
      </rPr>
      <t>deuda neta</t>
    </r>
    <r>
      <rPr>
        <sz val="12"/>
        <color theme="1"/>
        <rFont val="Helvetica"/>
        <family val="2"/>
      </rPr>
      <t xml:space="preserve"> es "el valor nominal de todas aquellas deudas del Gobierno Nacional Central que están en manos de agentes privados y/o públicos dentro y fuera del país, descontando todos aquellos activos financieros (cuentas corrientes, CDTs, bonos, fondos públicos, portafolios en el exterior) que posee". </t>
    </r>
    <r>
      <rPr>
        <i/>
        <sz val="12"/>
        <color theme="1"/>
        <rFont val="Helvetica"/>
        <family val="2"/>
      </rPr>
      <t xml:space="preserve">Fuente: </t>
    </r>
    <r>
      <rPr>
        <i/>
        <u/>
        <sz val="12"/>
        <color theme="1"/>
        <rFont val="Helvetica"/>
        <family val="2"/>
      </rPr>
      <t>https://www.minhacienda.gov.co/webcenter/portal/EntidadesFinancieras/pages_EntidadesFinancieras/PoliticaFiscal/dgg/deudagobiernonacionalcentral</t>
    </r>
  </si>
  <si>
    <t>De manera resumida, la deuda neta se obtiene como se indica a continuación:</t>
  </si>
  <si>
    <t>Corresponde a:</t>
  </si>
  <si>
    <t>+ Saldo de deuda en títulos (TES)</t>
  </si>
  <si>
    <t>➡</t>
  </si>
  <si>
    <t>Los TES emitidos por el Gobierno Nacional en el mercado doméstico. En su mayoría se denominan en pesos y una parte en UVR.</t>
  </si>
  <si>
    <t>+ Saldo de deuda en bonos y multilaterales</t>
  </si>
  <si>
    <t>Los bonos emitidos por el gobierno en el mercado internacional y los créditos adquiridos con la banca multilateral. La mayoría de esta deuda se denomina en dólares.</t>
  </si>
  <si>
    <t>= Deuda financiera del GNC</t>
  </si>
  <si>
    <t>+ Pagarés de Tesorería</t>
  </si>
  <si>
    <t>Son los préstamos de corto plazo que la Tesorería General de la Nación obtiene de los fondos que están bajo su administración. Por ejemplo, del Sistema General de Regalías.</t>
  </si>
  <si>
    <t>+ Cuentas por Pagar (PGN, CUN, Rec. Pasivos)</t>
  </si>
  <si>
    <t>Cuentas que quedan pendiente de pago en el presupuesto al cierre de la vigencia (obligaciones menos pagos), al saldo de la Cuenta Unica Nacional y al reconocimiento de otros pasivos</t>
  </si>
  <si>
    <t>= Deuda bruta del GNC</t>
  </si>
  <si>
    <t>- Activos internos (bonos y depósitos MN)</t>
  </si>
  <si>
    <t>Saldos de la Tesorería General en el Banco de la República y saldos de TES en poder de la Tesorería</t>
  </si>
  <si>
    <t>- Activos externos (depósitos ME)</t>
  </si>
  <si>
    <t>Saldos de la Tesorería General en cuentas denominadas en moneda extranjera</t>
  </si>
  <si>
    <t>= Deuda Neta del GNC</t>
  </si>
  <si>
    <t>Recomendaciones sobre los supuestos:</t>
  </si>
  <si>
    <t>1.</t>
  </si>
  <si>
    <r>
      <t xml:space="preserve">Se recomienda:
  </t>
    </r>
    <r>
      <rPr>
        <u/>
        <sz val="12"/>
        <color theme="1"/>
        <rFont val="Helvetica"/>
        <family val="2"/>
      </rPr>
      <t>A. Establecer un escenario base:</t>
    </r>
    <r>
      <rPr>
        <sz val="12"/>
        <color theme="1"/>
        <rFont val="Helvetica"/>
        <family val="2"/>
      </rPr>
      <t xml:space="preserve"> el escenario macroeconómico y fiscal más probable que puede ser alimentado a partir de varias fuentes, según necesidad
  </t>
    </r>
    <r>
      <rPr>
        <u/>
        <sz val="12"/>
        <color theme="1"/>
        <rFont val="Helvetica"/>
        <family val="2"/>
      </rPr>
      <t>B. Generar escenarios alternativos de riesgo considerando situaciones como:</t>
    </r>
    <r>
      <rPr>
        <sz val="12"/>
        <color theme="1"/>
        <rFont val="Helvetica"/>
        <family val="2"/>
      </rPr>
      <t xml:space="preserve">
</t>
    </r>
    <r>
      <rPr>
        <b/>
        <sz val="12"/>
        <color rgb="FF4396DB"/>
        <rFont val="Helvetica"/>
        <family val="2"/>
      </rPr>
      <t xml:space="preserve">       1. Corto plazo </t>
    </r>
    <r>
      <rPr>
        <sz val="12"/>
        <color theme="1"/>
        <rFont val="Helvetica"/>
        <family val="2"/>
      </rPr>
      <t xml:space="preserve">
            I. Choques a la tasa de cambio
            II. Choques a los precios de los commodities
            III. Desastres naturales
            IV. Pasivos contingentes  
</t>
    </r>
    <r>
      <rPr>
        <b/>
        <sz val="12"/>
        <color rgb="FF4396DB"/>
        <rFont val="Helvetica"/>
        <family val="2"/>
      </rPr>
      <t xml:space="preserve">       2. Largo plazo. 
</t>
    </r>
    <r>
      <rPr>
        <sz val="12"/>
        <color theme="1"/>
        <rFont val="Helvetica"/>
        <family val="2"/>
      </rPr>
      <t xml:space="preserve">            I. Envejecimiento poblacional y su impacto en gastos de salud y de pensiones
            II. Picos de amortizaciones de deuda
            III. Agotamiento de recursos naturales
            IV. Cambio climático</t>
    </r>
  </si>
  <si>
    <t xml:space="preserve">2. </t>
  </si>
  <si>
    <t>Para el supuesto de balance primario tenga en cuenta que este debe ser consistente con los supuestos macroeconómicos que va a utilizar en el escenario. Por ejemplo, si quiere simular un escenario con mayor crecimiento, mayor tasa de cambio o mayor inflación, tenga en cuenta que su balance primario sea consistente e incorpore los efectos de estas variables sobre los ingresos y gastos del gobierno.</t>
  </si>
  <si>
    <t>3.</t>
  </si>
  <si>
    <t>Para los supuestos de composición de la deuda nueva a emitir considere la Estrategia de Deuda del Gobierno Nacional (https://www.minhacienda.gov.co/webcenter/ShowProperty?nodeId=/ConexionContent/WCC_CLUSTER-111569#:~:text=La%20Estrategia%20de%20Gesti%C3%B3n%20de,del%20Gobierno%20Nacional%20Central%20%E2%80%93%20GNC.) o la actualización de supuestos que se indique en el MFMP más reciente.</t>
  </si>
  <si>
    <t>4.</t>
  </si>
  <si>
    <t>Para los supuestos de las tasas de interés puede revisar las características de las emisiones de títulos realizadas por el gobierno en el mercado interno (https://www.irc.gov.co/webcenter/ShowProperty?nodeId=%2FConexionContent%2FWCC_CLUSTER-229649%2F%2FidcPrimaryFile&amp;revision=latestreleased) y en el mercado extranjero (https://www.irc.gov.co/webcenter/portal/IRCEs/pages_Deuda/deudaexternagnc/bonosgnc/emisionesbonosgnc). Para el caso de la deuda con banca multilateral se recomienda consultar las tasas de bancos como el BID o el BM (https://treasury.worldbank.org/en/about/unit/treasury/ibrd-financial-products/lending-rates-and-fees).</t>
  </si>
  <si>
    <t>5.</t>
  </si>
  <si>
    <t>Incluya supuestos macroeconómicos (crecimiento nóminal y real, inflación y TRM) consistentes entre sí y con la expectativa de estas variables.</t>
  </si>
  <si>
    <t>Insumos externos</t>
  </si>
  <si>
    <t>Deuda GNC</t>
  </si>
  <si>
    <t>Ir en esta hoja:</t>
  </si>
  <si>
    <t>V 2.0 (22-JUL-2024)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</si>
</sst>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0.00;[Red]\-&quot;$&quot;#,##0.00"/>
    <numFmt numFmtId="164" formatCode="#,##0.0"/>
    <numFmt numFmtId="165" formatCode="0.0"/>
    <numFmt numFmtId="166" formatCode="#,##0.000"/>
    <numFmt numFmtId="167" formatCode="_(* #,##0_);_(* \(#,##0\);_(* &quot;-&quot;_);_(@_)"/>
    <numFmt numFmtId="168" formatCode="_ * #,##0_ ;_ * \-#,##0_ ;_ * &quot;-&quot;??_ ;_ @_ "/>
    <numFmt numFmtId="169" formatCode="_-* #,##0.000_-;\-* #,##0.000_-;_-* &quot;-&quot;_-;_-@_-"/>
    <numFmt numFmtId="170" formatCode="&quot;(US&quot;&quot;$&quot;\ #,##0&quot; mill.)&quot;"/>
    <numFmt numFmtId="171" formatCode="dd\-mm\-yy;@"/>
    <numFmt numFmtId="172" formatCode="[$-C0A]d\-mmm\-yy;@"/>
    <numFmt numFmtId="173" formatCode="0.0%"/>
    <numFmt numFmtId="174" formatCode="yyyy"/>
    <numFmt numFmtId="175" formatCode="_(* #,##0.0_);_(* \(#,##0.0\);_(* &quot;-&quot;_);_(@_)"/>
    <numFmt numFmtId="176" formatCode="#\ &quot;años&quot;"/>
    <numFmt numFmtId="177" formatCode="#,##0.0000"/>
    <numFmt numFmtId="178" formatCode="_(* #,##0.0_);_(* \(#,##0.0\);_(* &quot;-&quot;??_);_(@_)"/>
    <numFmt numFmtId="179" formatCode="_(* #,##0_);_(* \(#,##0\);_(* &quot;-&quot;??_);_(@_)"/>
    <numFmt numFmtId="180" formatCode="_(* #,##0.00_);_(* \(#,##0.00\);_(* &quot;-&quot;_);_(@_)"/>
    <numFmt numFmtId="181" formatCode="#,##0.0000000"/>
    <numFmt numFmtId="182" formatCode="0.000%"/>
  </numFmts>
  <fonts count="70">
    <font>
      <sz val="12"/>
      <color theme="1"/>
      <name val="Aptos Narrow"/>
      <family val="2"/>
      <scheme val="minor"/>
    </font>
    <font>
      <sz val="12"/>
      <color theme="1"/>
      <name val="Aptos Narrow"/>
      <family val="2"/>
      <scheme val="minor"/>
    </font>
    <font>
      <u/>
      <sz val="12"/>
      <color theme="10"/>
      <name val="Aptos Narrow"/>
      <family val="2"/>
      <scheme val="minor"/>
    </font>
    <font>
      <b/>
      <sz val="16"/>
      <color rgb="FF4396DB"/>
      <name val="Helvetica"/>
      <family val="2"/>
    </font>
    <font>
      <sz val="11"/>
      <color theme="1"/>
      <name val="Helvetica"/>
      <family val="2"/>
    </font>
    <font>
      <sz val="11"/>
      <name val="Helvetica"/>
      <family val="2"/>
    </font>
    <font>
      <u/>
      <sz val="11"/>
      <color theme="10"/>
      <name val="Helvetica"/>
      <family val="2"/>
    </font>
    <font>
      <i/>
      <sz val="11"/>
      <color theme="1"/>
      <name val="Helvetica"/>
      <family val="2"/>
    </font>
    <font>
      <sz val="11"/>
      <color rgb="FF4396DB"/>
      <name val="Helvetica"/>
      <family val="2"/>
    </font>
    <font>
      <b/>
      <sz val="11"/>
      <color rgb="FF4396DB"/>
      <name val="Helvetica"/>
      <family val="2"/>
    </font>
    <font>
      <b/>
      <sz val="11"/>
      <color theme="0"/>
      <name val="Helvetica"/>
      <family val="2"/>
    </font>
    <font>
      <b/>
      <sz val="11"/>
      <color theme="1"/>
      <name val="Helvetica"/>
      <family val="2"/>
    </font>
    <font>
      <sz val="9"/>
      <color theme="1"/>
      <name val="Helvetica"/>
      <family val="2"/>
    </font>
    <font>
      <b/>
      <sz val="11"/>
      <color rgb="FFFF0000"/>
      <name val="Helvetica"/>
      <family val="2"/>
    </font>
    <font>
      <b/>
      <sz val="11"/>
      <color rgb="FF4897D8"/>
      <name val="Helvetica"/>
      <family val="2"/>
    </font>
    <font>
      <sz val="11"/>
      <color rgb="FFFF0000"/>
      <name val="Helvetica"/>
      <family val="2"/>
    </font>
    <font>
      <b/>
      <sz val="14"/>
      <color rgb="FF4396DB"/>
      <name val="Helvetica"/>
      <family val="2"/>
    </font>
    <font>
      <sz val="12"/>
      <color rgb="FF4396DB"/>
      <name val="Helvetica"/>
      <family val="2"/>
    </font>
    <font>
      <b/>
      <sz val="16"/>
      <color rgb="FF4074C8"/>
      <name val="Helvetica"/>
      <family val="2"/>
    </font>
    <font>
      <b/>
      <sz val="11"/>
      <color rgb="FFFFFFFF"/>
      <name val="Helvetica"/>
      <family val="2"/>
    </font>
    <font>
      <sz val="11"/>
      <color rgb="FFFFFFFF"/>
      <name val="Helvetica"/>
      <family val="2"/>
    </font>
    <font>
      <b/>
      <sz val="11"/>
      <name val="Helvetica"/>
      <family val="2"/>
    </font>
    <font>
      <b/>
      <sz val="14"/>
      <color rgb="FF4074C8"/>
      <name val="Helvetica"/>
      <family val="2"/>
    </font>
    <font>
      <sz val="10"/>
      <name val="Times New Roman"/>
      <family val="1"/>
    </font>
    <font>
      <b/>
      <sz val="12"/>
      <color rgb="FF222B35"/>
      <name val="Helvetica"/>
      <family val="2"/>
    </font>
    <font>
      <b/>
      <sz val="11"/>
      <color rgb="FF222B35"/>
      <name val="Helvetica"/>
      <family val="2"/>
    </font>
    <font>
      <sz val="11"/>
      <color rgb="FF222B35"/>
      <name val="Helvetica"/>
      <family val="2"/>
    </font>
    <font>
      <b/>
      <sz val="12"/>
      <color rgb="FF4396DB"/>
      <name val="Helvetica"/>
      <family val="2"/>
    </font>
    <font>
      <sz val="11"/>
      <color theme="1"/>
      <name val="Aptos Narrow"/>
      <family val="2"/>
      <scheme val="minor"/>
    </font>
    <font>
      <sz val="11"/>
      <color rgb="FF000000"/>
      <name val="Helvetica"/>
      <family val="2"/>
    </font>
    <font>
      <sz val="10"/>
      <name val="Helvetica"/>
      <family val="2"/>
    </font>
    <font>
      <b/>
      <sz val="12"/>
      <color theme="1"/>
      <name val="Helvetica"/>
      <family val="2"/>
    </font>
    <font>
      <i/>
      <sz val="10"/>
      <name val="Helvetica"/>
      <family val="2"/>
    </font>
    <font>
      <sz val="12"/>
      <color theme="1"/>
      <name val="Helvetica"/>
      <family val="2"/>
    </font>
    <font>
      <b/>
      <sz val="11"/>
      <color rgb="FF4074C8"/>
      <name val="Helvetica"/>
      <family val="2"/>
    </font>
    <font>
      <b/>
      <sz val="12"/>
      <color theme="0"/>
      <name val="Helvetica"/>
      <family val="2"/>
    </font>
    <font>
      <b/>
      <sz val="12"/>
      <color rgb="FF4074C8"/>
      <name val="Helvetica"/>
      <family val="2"/>
    </font>
    <font>
      <sz val="11"/>
      <color rgb="FF003E6B"/>
      <name val="Helvetica"/>
      <family val="2"/>
    </font>
    <font>
      <sz val="11"/>
      <color rgb="FF0432FF"/>
      <name val="Helvetica"/>
      <family val="2"/>
    </font>
    <font>
      <b/>
      <sz val="11"/>
      <color rgb="FF003E6B"/>
      <name val="Helvetica"/>
      <family val="2"/>
    </font>
    <font>
      <b/>
      <sz val="11"/>
      <color rgb="FF0432FF"/>
      <name val="Helvetica"/>
      <family val="2"/>
    </font>
    <font>
      <sz val="11"/>
      <color theme="5" tint="-0.249977111117893"/>
      <name val="Helvetica"/>
      <family val="2"/>
    </font>
    <font>
      <b/>
      <sz val="11"/>
      <color theme="5" tint="-0.249977111117893"/>
      <name val="Helvetica"/>
      <family val="2"/>
    </font>
    <font>
      <sz val="11"/>
      <color rgb="FFFFFF00"/>
      <name val="Helvetica"/>
      <family val="2"/>
    </font>
    <font>
      <sz val="11"/>
      <color theme="9" tint="-0.249977111117893"/>
      <name val="Helvetica"/>
      <family val="2"/>
    </font>
    <font>
      <b/>
      <sz val="11"/>
      <color theme="9" tint="-0.249977111117893"/>
      <name val="Helvetica"/>
      <family val="2"/>
    </font>
    <font>
      <sz val="11"/>
      <color theme="4" tint="-0.249977111117893"/>
      <name val="Helvetica"/>
      <family val="2"/>
    </font>
    <font>
      <b/>
      <sz val="10"/>
      <color rgb="FF000000"/>
      <name val="Tahoma"/>
      <family val="2"/>
    </font>
    <font>
      <sz val="10"/>
      <color rgb="FF000000"/>
      <name val="Tahoma"/>
      <family val="2"/>
    </font>
    <font>
      <sz val="14"/>
      <color rgb="FF003E6B"/>
      <name val="Helvetica"/>
      <family val="2"/>
    </font>
    <font>
      <i/>
      <sz val="11"/>
      <color rgb="FF0432FF"/>
      <name val="Helvetica"/>
      <family val="2"/>
    </font>
    <font>
      <b/>
      <i/>
      <sz val="12"/>
      <color rgb="FF4396DB"/>
      <name val="Helvetica"/>
      <family val="2"/>
    </font>
    <font>
      <i/>
      <sz val="11"/>
      <color rgb="FF003E6B"/>
      <name val="Helvetica"/>
      <family val="2"/>
    </font>
    <font>
      <b/>
      <sz val="18"/>
      <color rgb="FF003E6B"/>
      <name val="Helvetica"/>
      <family val="2"/>
    </font>
    <font>
      <sz val="11"/>
      <color rgb="FF4074C8"/>
      <name val="Helvetica"/>
      <family val="2"/>
    </font>
    <font>
      <u/>
      <sz val="11"/>
      <color rgb="FF4074C8"/>
      <name val="Helvetica"/>
      <family val="2"/>
    </font>
    <font>
      <sz val="12"/>
      <color rgb="FF4074C8"/>
      <name val="Helvetica"/>
      <family val="2"/>
    </font>
    <font>
      <u/>
      <sz val="12"/>
      <color theme="10"/>
      <name val="Helvetica"/>
      <family val="2"/>
    </font>
    <font>
      <i/>
      <sz val="10"/>
      <color theme="1"/>
      <name val="Helvetica"/>
      <family val="2"/>
    </font>
    <font>
      <sz val="12"/>
      <name val="Helvetica"/>
      <family val="2"/>
    </font>
    <font>
      <i/>
      <sz val="12"/>
      <color theme="1"/>
      <name val="Helvetica"/>
      <family val="2"/>
    </font>
    <font>
      <i/>
      <u/>
      <sz val="12"/>
      <color theme="1"/>
      <name val="Helvetica"/>
      <family val="2"/>
    </font>
    <font>
      <i/>
      <sz val="12"/>
      <name val="Helvetica"/>
      <family val="2"/>
    </font>
    <font>
      <sz val="14"/>
      <name val="Helvetica"/>
      <family val="2"/>
    </font>
    <font>
      <sz val="16"/>
      <color theme="1"/>
      <name val="Helvetica"/>
      <family val="2"/>
    </font>
    <font>
      <sz val="14"/>
      <color theme="1"/>
      <name val="Helvetica"/>
      <family val="2"/>
    </font>
    <font>
      <b/>
      <sz val="15"/>
      <color rgb="FF4396DB"/>
      <name val="Helvetica"/>
      <family val="2"/>
    </font>
    <font>
      <u/>
      <sz val="12"/>
      <color theme="1"/>
      <name val="Helvetica"/>
      <family val="2"/>
    </font>
    <font>
      <u/>
      <sz val="9"/>
      <color theme="10"/>
      <name val="Helvetica"/>
      <family val="2"/>
    </font>
    <font>
      <sz val="9"/>
      <name val="Helvetica"/>
      <family val="2"/>
    </font>
  </fonts>
  <fills count="43">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rgb="FF003F6A"/>
        <bgColor indexed="64"/>
      </patternFill>
    </fill>
    <fill>
      <patternFill patternType="solid">
        <fgColor theme="0"/>
        <bgColor theme="0"/>
      </patternFill>
    </fill>
    <fill>
      <patternFill patternType="solid">
        <fgColor theme="3" tint="0.79998168889431442"/>
        <bgColor indexed="64"/>
      </patternFill>
    </fill>
    <fill>
      <patternFill patternType="solid">
        <fgColor theme="3" tint="0.79998168889431442"/>
        <bgColor theme="0"/>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003E6B"/>
        <bgColor rgb="FF000000"/>
      </patternFill>
    </fill>
    <fill>
      <patternFill patternType="solid">
        <fgColor rgb="FFD9D9D9"/>
        <bgColor rgb="FF000000"/>
      </patternFill>
    </fill>
    <fill>
      <patternFill patternType="solid">
        <fgColor rgb="FFFFFFFF"/>
        <bgColor rgb="FF000000"/>
      </patternFill>
    </fill>
    <fill>
      <patternFill patternType="solid">
        <fgColor theme="9"/>
        <bgColor rgb="FF000000"/>
      </patternFill>
    </fill>
    <fill>
      <patternFill patternType="solid">
        <fgColor rgb="FF16365C"/>
        <bgColor rgb="FF000000"/>
      </patternFill>
    </fill>
    <fill>
      <patternFill patternType="solid">
        <fgColor rgb="FFFFFFFF"/>
        <bgColor rgb="FFFFFFFF"/>
      </patternFill>
    </fill>
    <fill>
      <patternFill patternType="solid">
        <fgColor rgb="FF003E6B"/>
        <bgColor rgb="FFFFFFFF"/>
      </patternFill>
    </fill>
    <fill>
      <patternFill patternType="solid">
        <fgColor rgb="FFF3F6FB"/>
        <bgColor rgb="FFFFFFFF"/>
      </patternFill>
    </fill>
    <fill>
      <patternFill patternType="solid">
        <fgColor rgb="FF4396DB"/>
        <bgColor rgb="FFFFFFFF"/>
      </patternFill>
    </fill>
    <fill>
      <patternFill patternType="solid">
        <fgColor theme="4" tint="0.79998168889431442"/>
        <bgColor rgb="FFFFFFFF"/>
      </patternFill>
    </fill>
    <fill>
      <patternFill patternType="solid">
        <fgColor theme="0" tint="-0.14999847407452621"/>
        <bgColor rgb="FFFFFFFF"/>
      </patternFill>
    </fill>
    <fill>
      <patternFill patternType="solid">
        <fgColor theme="5"/>
        <bgColor indexed="64"/>
      </patternFill>
    </fill>
    <fill>
      <patternFill patternType="solid">
        <fgColor theme="0"/>
        <bgColor rgb="FFFFFFFF"/>
      </patternFill>
    </fill>
    <fill>
      <patternFill patternType="solid">
        <fgColor theme="1"/>
        <bgColor indexed="64"/>
      </patternFill>
    </fill>
    <fill>
      <patternFill patternType="solid">
        <fgColor theme="9"/>
        <bgColor indexed="64"/>
      </patternFill>
    </fill>
    <fill>
      <patternFill patternType="solid">
        <fgColor rgb="FF003E6B"/>
        <bgColor indexed="64"/>
      </patternFill>
    </fill>
    <fill>
      <patternFill patternType="solid">
        <fgColor rgb="FFBFBFBF"/>
        <bgColor rgb="FF000000"/>
      </patternFill>
    </fill>
    <fill>
      <patternFill patternType="solid">
        <fgColor theme="5"/>
        <bgColor rgb="FF000000"/>
      </patternFill>
    </fill>
    <fill>
      <patternFill patternType="solid">
        <fgColor theme="0"/>
        <bgColor rgb="FF000000"/>
      </patternFill>
    </fill>
    <fill>
      <patternFill patternType="solid">
        <fgColor rgb="FF002060"/>
        <bgColor indexed="64"/>
      </patternFill>
    </fill>
    <fill>
      <patternFill patternType="solid">
        <fgColor theme="0" tint="-0.34998626667073579"/>
        <bgColor indexed="64"/>
      </patternFill>
    </fill>
    <fill>
      <patternFill patternType="solid">
        <fgColor theme="3"/>
        <bgColor indexed="64"/>
      </patternFill>
    </fill>
    <fill>
      <patternFill patternType="solid">
        <fgColor theme="0" tint="-0.499984740745262"/>
        <bgColor indexed="64"/>
      </patternFill>
    </fill>
    <fill>
      <patternFill patternType="solid">
        <fgColor indexed="65"/>
        <bgColor rgb="FF000000"/>
      </patternFill>
    </fill>
    <fill>
      <patternFill patternType="solid">
        <fgColor theme="4"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4" tint="0.79998168889431442"/>
        <bgColor indexed="64"/>
      </patternFill>
    </fill>
  </fills>
  <borders count="81">
    <border>
      <left/>
      <right/>
      <top/>
      <bottom/>
      <diagonal/>
    </border>
    <border>
      <left style="thin">
        <color rgb="FF003F6A"/>
      </left>
      <right style="thin">
        <color rgb="FF003F6A"/>
      </right>
      <top style="thin">
        <color rgb="FF003F6A"/>
      </top>
      <bottom/>
      <diagonal/>
    </border>
    <border>
      <left style="thin">
        <color rgb="FF003F6A"/>
      </left>
      <right/>
      <top style="thin">
        <color rgb="FF003F6A"/>
      </top>
      <bottom/>
      <diagonal/>
    </border>
    <border>
      <left/>
      <right/>
      <top style="thin">
        <color rgb="FF003F6A"/>
      </top>
      <bottom/>
      <diagonal/>
    </border>
    <border>
      <left/>
      <right style="thin">
        <color rgb="FF003F6A"/>
      </right>
      <top style="thin">
        <color rgb="FF003F6A"/>
      </top>
      <bottom/>
      <diagonal/>
    </border>
    <border>
      <left style="thin">
        <color theme="3"/>
      </left>
      <right style="thin">
        <color theme="3"/>
      </right>
      <top style="thin">
        <color theme="3"/>
      </top>
      <bottom/>
      <diagonal/>
    </border>
    <border>
      <left style="thin">
        <color theme="3"/>
      </left>
      <right/>
      <top style="thin">
        <color theme="3"/>
      </top>
      <bottom/>
      <diagonal/>
    </border>
    <border>
      <left/>
      <right/>
      <top style="thin">
        <color theme="3"/>
      </top>
      <bottom/>
      <diagonal/>
    </border>
    <border>
      <left/>
      <right style="thin">
        <color rgb="FF003F6A"/>
      </right>
      <top style="thin">
        <color theme="3"/>
      </top>
      <bottom/>
      <diagonal/>
    </border>
    <border>
      <left style="thin">
        <color theme="3"/>
      </left>
      <right style="thin">
        <color theme="3"/>
      </right>
      <top/>
      <bottom/>
      <diagonal/>
    </border>
    <border>
      <left style="thin">
        <color theme="3"/>
      </left>
      <right/>
      <top/>
      <bottom/>
      <diagonal/>
    </border>
    <border>
      <left/>
      <right style="thin">
        <color rgb="FF003F6A"/>
      </right>
      <top/>
      <bottom/>
      <diagonal/>
    </border>
    <border>
      <left style="thin">
        <color theme="3"/>
      </left>
      <right style="thin">
        <color theme="3"/>
      </right>
      <top/>
      <bottom style="thin">
        <color theme="3"/>
      </bottom>
      <diagonal/>
    </border>
    <border>
      <left style="thin">
        <color theme="3"/>
      </left>
      <right/>
      <top/>
      <bottom style="thin">
        <color theme="3"/>
      </bottom>
      <diagonal/>
    </border>
    <border>
      <left/>
      <right/>
      <top/>
      <bottom style="thin">
        <color theme="3"/>
      </bottom>
      <diagonal/>
    </border>
    <border>
      <left/>
      <right style="thin">
        <color rgb="FF003F6A"/>
      </right>
      <top/>
      <bottom style="thin">
        <color theme="3"/>
      </bottom>
      <diagonal/>
    </border>
    <border>
      <left style="thin">
        <color rgb="FF003F6A"/>
      </left>
      <right style="thin">
        <color rgb="FF003F6A"/>
      </right>
      <top/>
      <bottom/>
      <diagonal/>
    </border>
    <border>
      <left style="thin">
        <color rgb="FF003F6A"/>
      </left>
      <right/>
      <top/>
      <bottom/>
      <diagonal/>
    </border>
    <border>
      <left style="thin">
        <color rgb="FF003F6A"/>
      </left>
      <right style="thin">
        <color rgb="FF003F6A"/>
      </right>
      <top/>
      <bottom style="thin">
        <color rgb="FF003F6A"/>
      </bottom>
      <diagonal/>
    </border>
    <border>
      <left style="thin">
        <color rgb="FF003F6A"/>
      </left>
      <right/>
      <top/>
      <bottom style="thin">
        <color rgb="FF003F6A"/>
      </bottom>
      <diagonal/>
    </border>
    <border>
      <left/>
      <right/>
      <top/>
      <bottom style="thin">
        <color rgb="FF003F6A"/>
      </bottom>
      <diagonal/>
    </border>
    <border>
      <left/>
      <right style="thin">
        <color rgb="FF003F6A"/>
      </right>
      <top/>
      <bottom style="thin">
        <color rgb="FF003F6A"/>
      </bottom>
      <diagonal/>
    </border>
    <border>
      <left style="thin">
        <color rgb="FF003F6A"/>
      </left>
      <right style="thin">
        <color rgb="FF003F6A"/>
      </right>
      <top style="thin">
        <color rgb="FF003F6A"/>
      </top>
      <bottom style="thin">
        <color rgb="FF003F6A"/>
      </bottom>
      <diagonal/>
    </border>
    <border>
      <left style="thin">
        <color rgb="FF003F6A"/>
      </left>
      <right/>
      <top style="thin">
        <color rgb="FF003F6A"/>
      </top>
      <bottom style="thin">
        <color rgb="FF003F6A"/>
      </bottom>
      <diagonal/>
    </border>
    <border>
      <left/>
      <right/>
      <top style="thin">
        <color rgb="FF003F6A"/>
      </top>
      <bottom style="thin">
        <color rgb="FF003F6A"/>
      </bottom>
      <diagonal/>
    </border>
    <border>
      <left/>
      <right style="thin">
        <color rgb="FF003F6A"/>
      </right>
      <top style="thin">
        <color rgb="FF003F6A"/>
      </top>
      <bottom style="thin">
        <color rgb="FF003F6A"/>
      </bottom>
      <diagonal/>
    </border>
    <border>
      <left style="thin">
        <color rgb="FF67829F"/>
      </left>
      <right style="thin">
        <color rgb="FF67829F"/>
      </right>
      <top style="thin">
        <color rgb="FF67829F"/>
      </top>
      <bottom style="thin">
        <color rgb="FF67829F"/>
      </bottom>
      <diagonal/>
    </border>
    <border>
      <left style="thin">
        <color rgb="FF67829F"/>
      </left>
      <right/>
      <top style="thin">
        <color rgb="FF67829F"/>
      </top>
      <bottom style="thin">
        <color rgb="FF67829F"/>
      </bottom>
      <diagonal/>
    </border>
    <border>
      <left/>
      <right/>
      <top style="thin">
        <color rgb="FF67829F"/>
      </top>
      <bottom style="thin">
        <color rgb="FF67829F"/>
      </bottom>
      <diagonal/>
    </border>
    <border>
      <left/>
      <right style="thin">
        <color rgb="FF67829F"/>
      </right>
      <top style="thin">
        <color rgb="FF67829F"/>
      </top>
      <bottom style="thin">
        <color rgb="FF67829F"/>
      </bottom>
      <diagonal/>
    </border>
    <border>
      <left style="thin">
        <color rgb="FF67829F"/>
      </left>
      <right/>
      <top style="thin">
        <color rgb="FF67829F"/>
      </top>
      <bottom/>
      <diagonal/>
    </border>
    <border>
      <left/>
      <right/>
      <top style="thin">
        <color rgb="FF67829F"/>
      </top>
      <bottom/>
      <diagonal/>
    </border>
    <border>
      <left/>
      <right style="thin">
        <color rgb="FF67829F"/>
      </right>
      <top style="thin">
        <color rgb="FF67829F"/>
      </top>
      <bottom/>
      <diagonal/>
    </border>
    <border>
      <left style="thin">
        <color rgb="FF67829F"/>
      </left>
      <right style="thin">
        <color rgb="FF67829F"/>
      </right>
      <top/>
      <bottom/>
      <diagonal/>
    </border>
    <border>
      <left style="thin">
        <color rgb="FF67829F"/>
      </left>
      <right/>
      <top/>
      <bottom/>
      <diagonal/>
    </border>
    <border>
      <left/>
      <right style="thin">
        <color rgb="FF67829F"/>
      </right>
      <top/>
      <bottom/>
      <diagonal/>
    </border>
    <border>
      <left style="thin">
        <color rgb="FF67829F"/>
      </left>
      <right style="thin">
        <color rgb="FF67829F"/>
      </right>
      <top/>
      <bottom style="thin">
        <color rgb="FF67829F"/>
      </bottom>
      <diagonal/>
    </border>
    <border>
      <left style="thin">
        <color rgb="FF67829F"/>
      </left>
      <right/>
      <top/>
      <bottom style="thin">
        <color rgb="FF67829F"/>
      </bottom>
      <diagonal/>
    </border>
    <border>
      <left/>
      <right/>
      <top/>
      <bottom style="thin">
        <color rgb="FF67829F"/>
      </bottom>
      <diagonal/>
    </border>
    <border>
      <left/>
      <right style="thin">
        <color rgb="FF67829F"/>
      </right>
      <top/>
      <bottom style="thin">
        <color rgb="FF67829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67829F"/>
      </left>
      <right style="thin">
        <color rgb="FF67829F"/>
      </right>
      <top style="thin">
        <color rgb="FF67829F"/>
      </top>
      <bottom/>
      <diagonal/>
    </border>
    <border>
      <left style="thin">
        <color rgb="FF67829F"/>
      </left>
      <right/>
      <top style="thin">
        <color auto="1"/>
      </top>
      <bottom/>
      <diagonal/>
    </border>
    <border>
      <left/>
      <right/>
      <top style="thin">
        <color indexed="64"/>
      </top>
      <bottom/>
      <diagonal/>
    </border>
    <border>
      <left/>
      <right style="thin">
        <color rgb="FFFF0000"/>
      </right>
      <top style="thin">
        <color rgb="FF67829F"/>
      </top>
      <bottom style="thin">
        <color rgb="FF67829F"/>
      </bottom>
      <diagonal/>
    </border>
    <border>
      <left/>
      <right style="thin">
        <color rgb="FFFF0000"/>
      </right>
      <top style="thin">
        <color rgb="FF67829F"/>
      </top>
      <bottom/>
      <diagonal/>
    </border>
    <border>
      <left/>
      <right style="thin">
        <color rgb="FFFF0000"/>
      </right>
      <top/>
      <bottom/>
      <diagonal/>
    </border>
    <border>
      <left/>
      <right style="thin">
        <color rgb="FFFF0000"/>
      </right>
      <top/>
      <bottom style="thin">
        <color rgb="FF67829F"/>
      </bottom>
      <diagonal/>
    </border>
    <border>
      <left/>
      <right style="thin">
        <color rgb="FFFF0000"/>
      </right>
      <top style="thin">
        <color auto="1"/>
      </top>
      <bottom/>
      <diagonal/>
    </border>
    <border>
      <left/>
      <right style="thin">
        <color rgb="FFFF0000"/>
      </right>
      <top/>
      <bottom style="thin">
        <color auto="1"/>
      </bottom>
      <diagonal/>
    </border>
    <border>
      <left style="thin">
        <color rgb="FF67829F"/>
      </left>
      <right style="thin">
        <color auto="1"/>
      </right>
      <top style="thin">
        <color rgb="FF67829F"/>
      </top>
      <bottom/>
      <diagonal/>
    </border>
    <border>
      <left style="thin">
        <color rgb="FF67829F"/>
      </left>
      <right style="thin">
        <color auto="1"/>
      </right>
      <top/>
      <bottom style="thin">
        <color rgb="FF67829F"/>
      </bottom>
      <diagonal/>
    </border>
    <border>
      <left/>
      <right/>
      <top style="thin">
        <color theme="0" tint="-0.14996795556505021"/>
      </top>
      <bottom/>
      <diagonal/>
    </border>
    <border>
      <left/>
      <right/>
      <top style="thin">
        <color theme="0" tint="-0.24994659260841701"/>
      </top>
      <bottom/>
      <diagonal/>
    </border>
    <border>
      <left/>
      <right style="thin">
        <color theme="3"/>
      </right>
      <top style="thin">
        <color theme="3"/>
      </top>
      <bottom/>
      <diagonal/>
    </border>
    <border>
      <left/>
      <right style="thin">
        <color theme="3"/>
      </right>
      <top/>
      <bottom/>
      <diagonal/>
    </border>
    <border>
      <left/>
      <right style="thin">
        <color theme="3"/>
      </right>
      <top/>
      <bottom style="thin">
        <color theme="3"/>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style="thin">
        <color theme="0" tint="-0.24994659260841701"/>
      </top>
      <bottom/>
      <diagonal/>
    </border>
    <border>
      <left/>
      <right style="thin">
        <color rgb="FF002060"/>
      </right>
      <top style="thin">
        <color theme="0" tint="-0.24994659260841701"/>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rgb="FF002060"/>
      </left>
      <right/>
      <top style="thin">
        <color theme="0" tint="-0.14996795556505021"/>
      </top>
      <bottom/>
      <diagonal/>
    </border>
    <border>
      <left/>
      <right style="thin">
        <color rgb="FF002060"/>
      </right>
      <top style="thin">
        <color theme="0" tint="-0.14996795556505021"/>
      </top>
      <bottom/>
      <diagonal/>
    </border>
    <border>
      <left/>
      <right style="thin">
        <color rgb="FF67829F"/>
      </right>
      <top style="thin">
        <color indexed="64"/>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medium">
        <color auto="1"/>
      </bottom>
      <diagonal/>
    </border>
  </borders>
  <cellStyleXfs count="6">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3" fillId="0" borderId="0"/>
    <xf numFmtId="167" fontId="28" fillId="0" borderId="0" applyFont="0" applyFill="0" applyBorder="0" applyAlignment="0" applyProtection="0"/>
  </cellStyleXfs>
  <cellXfs count="818">
    <xf numFmtId="0" fontId="0" fillId="0" borderId="0" xfId="0"/>
    <xf numFmtId="0" fontId="3" fillId="2" borderId="0" xfId="0" applyFont="1" applyFill="1" applyAlignment="1">
      <alignment vertical="top"/>
    </xf>
    <xf numFmtId="0" fontId="4" fillId="2" borderId="0" xfId="0" applyFont="1" applyFill="1"/>
    <xf numFmtId="0" fontId="4" fillId="2" borderId="0" xfId="0" applyFont="1" applyFill="1" applyAlignment="1">
      <alignment vertical="top" wrapText="1"/>
    </xf>
    <xf numFmtId="0" fontId="9" fillId="2" borderId="0" xfId="0" applyFont="1" applyFill="1"/>
    <xf numFmtId="0" fontId="8" fillId="2" borderId="0" xfId="0" applyFont="1" applyFill="1"/>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1" fillId="5" borderId="5" xfId="0" applyFont="1" applyFill="1" applyBorder="1" applyAlignment="1">
      <alignment horizontal="left" vertical="center" wrapText="1"/>
    </xf>
    <xf numFmtId="0" fontId="11" fillId="5" borderId="12" xfId="0" applyFont="1" applyFill="1" applyBorder="1" applyAlignment="1">
      <alignment horizontal="left" vertical="center" wrapText="1"/>
    </xf>
    <xf numFmtId="164" fontId="4" fillId="5" borderId="13" xfId="0" applyNumberFormat="1" applyFont="1" applyFill="1" applyBorder="1" applyAlignment="1">
      <alignment horizontal="right" vertical="center"/>
    </xf>
    <xf numFmtId="164" fontId="4" fillId="5" borderId="14" xfId="0" applyNumberFormat="1" applyFont="1" applyFill="1" applyBorder="1" applyAlignment="1">
      <alignment horizontal="right" vertical="center"/>
    </xf>
    <xf numFmtId="164" fontId="4" fillId="5" borderId="15" xfId="0" applyNumberFormat="1" applyFont="1" applyFill="1" applyBorder="1" applyAlignment="1">
      <alignment horizontal="right" vertical="center"/>
    </xf>
    <xf numFmtId="0" fontId="11" fillId="6" borderId="5" xfId="0" applyFont="1" applyFill="1" applyBorder="1" applyAlignment="1">
      <alignment horizontal="left" vertical="center" wrapText="1"/>
    </xf>
    <xf numFmtId="3" fontId="12" fillId="6" borderId="6" xfId="0" applyNumberFormat="1" applyFont="1" applyFill="1" applyBorder="1" applyAlignment="1">
      <alignment horizontal="right" vertical="center"/>
    </xf>
    <xf numFmtId="3" fontId="12" fillId="6" borderId="7" xfId="0" applyNumberFormat="1" applyFont="1" applyFill="1" applyBorder="1" applyAlignment="1">
      <alignment horizontal="right" vertical="center"/>
    </xf>
    <xf numFmtId="3" fontId="12" fillId="6" borderId="8" xfId="0" applyNumberFormat="1" applyFont="1" applyFill="1" applyBorder="1" applyAlignment="1">
      <alignment horizontal="right" vertical="center"/>
    </xf>
    <xf numFmtId="0" fontId="11" fillId="6" borderId="9" xfId="0" applyFont="1" applyFill="1" applyBorder="1" applyAlignment="1">
      <alignment horizontal="left" vertical="center" wrapText="1"/>
    </xf>
    <xf numFmtId="164" fontId="4" fillId="6" borderId="10" xfId="0" applyNumberFormat="1" applyFont="1" applyFill="1" applyBorder="1" applyAlignment="1">
      <alignment horizontal="right" vertical="center"/>
    </xf>
    <xf numFmtId="164" fontId="4" fillId="6" borderId="0" xfId="0" applyNumberFormat="1" applyFont="1" applyFill="1" applyAlignment="1">
      <alignment horizontal="right" vertical="center"/>
    </xf>
    <xf numFmtId="164" fontId="4" fillId="6" borderId="11" xfId="0" applyNumberFormat="1" applyFont="1" applyFill="1" applyBorder="1" applyAlignment="1">
      <alignment horizontal="right" vertical="center"/>
    </xf>
    <xf numFmtId="0" fontId="11" fillId="7" borderId="12" xfId="0" applyFont="1" applyFill="1" applyBorder="1" applyAlignment="1">
      <alignment horizontal="left" vertical="center" wrapText="1"/>
    </xf>
    <xf numFmtId="164" fontId="4" fillId="7" borderId="13" xfId="0" applyNumberFormat="1" applyFont="1" applyFill="1" applyBorder="1" applyAlignment="1">
      <alignment horizontal="right" vertical="center"/>
    </xf>
    <xf numFmtId="164" fontId="4" fillId="7" borderId="14" xfId="0" applyNumberFormat="1" applyFont="1" applyFill="1" applyBorder="1" applyAlignment="1">
      <alignment horizontal="right" vertical="center"/>
    </xf>
    <xf numFmtId="164" fontId="4" fillId="7" borderId="15" xfId="0" applyNumberFormat="1" applyFont="1" applyFill="1" applyBorder="1" applyAlignment="1">
      <alignment horizontal="right" vertical="center"/>
    </xf>
    <xf numFmtId="164" fontId="4" fillId="5" borderId="6" xfId="0" applyNumberFormat="1" applyFont="1" applyFill="1" applyBorder="1" applyAlignment="1">
      <alignment horizontal="right" vertical="center"/>
    </xf>
    <xf numFmtId="164" fontId="4" fillId="5" borderId="7" xfId="0" applyNumberFormat="1" applyFont="1" applyFill="1" applyBorder="1" applyAlignment="1">
      <alignment horizontal="right" vertical="center"/>
    </xf>
    <xf numFmtId="164" fontId="4" fillId="5" borderId="8" xfId="0" applyNumberFormat="1" applyFont="1" applyFill="1" applyBorder="1" applyAlignment="1">
      <alignment horizontal="right" vertical="center"/>
    </xf>
    <xf numFmtId="0" fontId="14" fillId="2" borderId="16" xfId="0" applyFont="1" applyFill="1" applyBorder="1"/>
    <xf numFmtId="3" fontId="4" fillId="2" borderId="0" xfId="0" applyNumberFormat="1" applyFont="1" applyFill="1"/>
    <xf numFmtId="0" fontId="4" fillId="2" borderId="16" xfId="0" applyFont="1" applyFill="1" applyBorder="1" applyAlignment="1">
      <alignment horizontal="left" indent="1"/>
    </xf>
    <xf numFmtId="0" fontId="4" fillId="2" borderId="18" xfId="0" applyFont="1" applyFill="1" applyBorder="1" applyAlignment="1">
      <alignment horizontal="left" indent="1"/>
    </xf>
    <xf numFmtId="165" fontId="4" fillId="2" borderId="0" xfId="0" applyNumberFormat="1" applyFont="1" applyFill="1"/>
    <xf numFmtId="0" fontId="14" fillId="2" borderId="1" xfId="0" applyFont="1" applyFill="1" applyBorder="1" applyAlignment="1">
      <alignment wrapText="1"/>
    </xf>
    <xf numFmtId="0" fontId="11" fillId="2" borderId="16" xfId="0" applyFont="1" applyFill="1" applyBorder="1" applyAlignment="1">
      <alignment horizontal="left" indent="1"/>
    </xf>
    <xf numFmtId="3" fontId="11" fillId="2" borderId="0" xfId="0" applyNumberFormat="1" applyFont="1" applyFill="1" applyAlignment="1">
      <alignment vertical="center"/>
    </xf>
    <xf numFmtId="0" fontId="14" fillId="2" borderId="22" xfId="0" applyFont="1" applyFill="1" applyBorder="1"/>
    <xf numFmtId="0" fontId="15" fillId="2" borderId="0" xfId="0" applyFont="1" applyFill="1"/>
    <xf numFmtId="0" fontId="11" fillId="2" borderId="22" xfId="0" applyFont="1" applyFill="1" applyBorder="1" applyAlignment="1">
      <alignment horizontal="left" indent="1"/>
    </xf>
    <xf numFmtId="4" fontId="4" fillId="2" borderId="0" xfId="0" applyNumberFormat="1" applyFont="1" applyFill="1"/>
    <xf numFmtId="164" fontId="14" fillId="2" borderId="17" xfId="0" applyNumberFormat="1" applyFont="1" applyFill="1" applyBorder="1" applyAlignment="1">
      <alignment horizontal="right" vertical="center"/>
    </xf>
    <xf numFmtId="164" fontId="14" fillId="2" borderId="0" xfId="0" applyNumberFormat="1" applyFont="1" applyFill="1" applyAlignment="1">
      <alignment horizontal="right" vertical="center"/>
    </xf>
    <xf numFmtId="164" fontId="14" fillId="2" borderId="11" xfId="0" applyNumberFormat="1" applyFont="1" applyFill="1" applyBorder="1" applyAlignment="1">
      <alignment horizontal="right" vertical="center"/>
    </xf>
    <xf numFmtId="164" fontId="11" fillId="9" borderId="23" xfId="0" applyNumberFormat="1" applyFont="1" applyFill="1" applyBorder="1" applyAlignment="1">
      <alignment vertical="center"/>
    </xf>
    <xf numFmtId="164" fontId="11" fillId="9" borderId="24" xfId="0" applyNumberFormat="1" applyFont="1" applyFill="1" applyBorder="1" applyAlignment="1">
      <alignment vertical="center"/>
    </xf>
    <xf numFmtId="164" fontId="11" fillId="9" borderId="24" xfId="0" applyNumberFormat="1" applyFont="1" applyFill="1" applyBorder="1"/>
    <xf numFmtId="164" fontId="11" fillId="9" borderId="25" xfId="0" applyNumberFormat="1" applyFont="1" applyFill="1" applyBorder="1" applyAlignment="1">
      <alignment vertical="center"/>
    </xf>
    <xf numFmtId="0" fontId="4" fillId="8" borderId="0" xfId="0" applyFont="1" applyFill="1"/>
    <xf numFmtId="0" fontId="13" fillId="2" borderId="0" xfId="0" applyFont="1" applyFill="1"/>
    <xf numFmtId="0" fontId="4" fillId="2" borderId="33" xfId="0" applyFont="1" applyFill="1" applyBorder="1"/>
    <xf numFmtId="164" fontId="4" fillId="8" borderId="0" xfId="0" applyNumberFormat="1" applyFont="1" applyFill="1"/>
    <xf numFmtId="164" fontId="4" fillId="8" borderId="35" xfId="0" applyNumberFormat="1" applyFont="1" applyFill="1" applyBorder="1"/>
    <xf numFmtId="0" fontId="7" fillId="2" borderId="33" xfId="0" applyFont="1" applyFill="1" applyBorder="1"/>
    <xf numFmtId="164" fontId="4" fillId="2" borderId="0" xfId="0" applyNumberFormat="1" applyFont="1" applyFill="1"/>
    <xf numFmtId="164" fontId="4" fillId="2" borderId="35" xfId="0" applyNumberFormat="1" applyFont="1" applyFill="1" applyBorder="1"/>
    <xf numFmtId="165" fontId="4" fillId="8" borderId="0" xfId="0" applyNumberFormat="1" applyFont="1" applyFill="1"/>
    <xf numFmtId="0" fontId="11" fillId="11" borderId="33" xfId="0" applyFont="1" applyFill="1" applyBorder="1"/>
    <xf numFmtId="164" fontId="11" fillId="11" borderId="35" xfId="0" applyNumberFormat="1" applyFont="1" applyFill="1" applyBorder="1"/>
    <xf numFmtId="0" fontId="11" fillId="8" borderId="0" xfId="0" applyFont="1" applyFill="1"/>
    <xf numFmtId="0" fontId="9" fillId="8" borderId="0" xfId="0" applyFont="1" applyFill="1"/>
    <xf numFmtId="4" fontId="14" fillId="2" borderId="2" xfId="0" applyNumberFormat="1" applyFont="1" applyFill="1" applyBorder="1" applyAlignment="1">
      <alignment horizontal="right" vertical="center"/>
    </xf>
    <xf numFmtId="4" fontId="14" fillId="2" borderId="3" xfId="0" applyNumberFormat="1" applyFont="1" applyFill="1" applyBorder="1" applyAlignment="1">
      <alignment horizontal="right" vertical="center"/>
    </xf>
    <xf numFmtId="4" fontId="14" fillId="2" borderId="4" xfId="0" applyNumberFormat="1" applyFont="1" applyFill="1" applyBorder="1" applyAlignment="1">
      <alignment horizontal="right" vertical="center"/>
    </xf>
    <xf numFmtId="4" fontId="11" fillId="9" borderId="17" xfId="0" applyNumberFormat="1" applyFont="1" applyFill="1" applyBorder="1" applyAlignment="1">
      <alignment vertical="center"/>
    </xf>
    <xf numFmtId="4" fontId="11" fillId="9" borderId="0" xfId="0" applyNumberFormat="1" applyFont="1" applyFill="1" applyAlignment="1">
      <alignment vertical="center"/>
    </xf>
    <xf numFmtId="4" fontId="11" fillId="9" borderId="0" xfId="0" applyNumberFormat="1" applyFont="1" applyFill="1"/>
    <xf numFmtId="4" fontId="11" fillId="2" borderId="0" xfId="0" applyNumberFormat="1" applyFont="1" applyFill="1" applyAlignment="1">
      <alignment vertical="center"/>
    </xf>
    <xf numFmtId="4" fontId="11" fillId="2" borderId="11" xfId="0" applyNumberFormat="1" applyFont="1" applyFill="1" applyBorder="1" applyAlignment="1">
      <alignment vertical="center"/>
    </xf>
    <xf numFmtId="4" fontId="11" fillId="2" borderId="23" xfId="0" applyNumberFormat="1" applyFont="1" applyFill="1" applyBorder="1" applyAlignment="1">
      <alignment horizontal="right" vertical="center"/>
    </xf>
    <xf numFmtId="4" fontId="11" fillId="2" borderId="24" xfId="0" applyNumberFormat="1" applyFont="1" applyFill="1" applyBorder="1" applyAlignment="1">
      <alignment horizontal="right" vertical="center"/>
    </xf>
    <xf numFmtId="4" fontId="11" fillId="2" borderId="25" xfId="0" applyNumberFormat="1" applyFont="1" applyFill="1" applyBorder="1" applyAlignment="1">
      <alignment horizontal="right" vertical="center"/>
    </xf>
    <xf numFmtId="4" fontId="11" fillId="10" borderId="23" xfId="0" applyNumberFormat="1" applyFont="1" applyFill="1" applyBorder="1" applyAlignment="1">
      <alignment vertical="center"/>
    </xf>
    <xf numFmtId="4" fontId="11" fillId="10" borderId="24" xfId="0" applyNumberFormat="1" applyFont="1" applyFill="1" applyBorder="1" applyAlignment="1">
      <alignment vertical="center"/>
    </xf>
    <xf numFmtId="4" fontId="11" fillId="10" borderId="25" xfId="0" applyNumberFormat="1" applyFont="1" applyFill="1" applyBorder="1" applyAlignment="1">
      <alignment vertical="center"/>
    </xf>
    <xf numFmtId="166" fontId="11" fillId="2" borderId="0" xfId="0" applyNumberFormat="1" applyFont="1" applyFill="1"/>
    <xf numFmtId="0" fontId="16" fillId="2" borderId="0" xfId="0" applyFont="1" applyFill="1"/>
    <xf numFmtId="0" fontId="17" fillId="2" borderId="0" xfId="0" applyFont="1" applyFill="1"/>
    <xf numFmtId="0" fontId="18" fillId="2" borderId="0" xfId="0" applyFont="1" applyFill="1" applyAlignment="1">
      <alignment vertical="center"/>
    </xf>
    <xf numFmtId="1" fontId="4" fillId="2" borderId="0" xfId="0" applyNumberFormat="1" applyFont="1" applyFill="1"/>
    <xf numFmtId="0" fontId="19" fillId="13" borderId="0" xfId="0" applyFont="1" applyFill="1" applyAlignment="1" applyProtection="1">
      <alignment horizontal="left" vertical="center"/>
      <protection hidden="1"/>
    </xf>
    <xf numFmtId="0" fontId="20" fillId="13" borderId="0" xfId="0" applyFont="1" applyFill="1" applyAlignment="1">
      <alignment vertical="center"/>
    </xf>
    <xf numFmtId="0" fontId="19" fillId="13" borderId="0" xfId="0" applyFont="1" applyFill="1" applyAlignment="1">
      <alignment horizontal="center" vertical="center"/>
    </xf>
    <xf numFmtId="0" fontId="21" fillId="14" borderId="40" xfId="0" applyFont="1" applyFill="1" applyBorder="1" applyAlignment="1" applyProtection="1">
      <alignment horizontal="center" vertical="center"/>
      <protection hidden="1"/>
    </xf>
    <xf numFmtId="0" fontId="21" fillId="14" borderId="41" xfId="0" applyFont="1" applyFill="1" applyBorder="1" applyAlignment="1" applyProtection="1">
      <alignment horizontal="center" vertical="center"/>
      <protection hidden="1"/>
    </xf>
    <xf numFmtId="0" fontId="21" fillId="14" borderId="41" xfId="0" applyFont="1" applyFill="1" applyBorder="1" applyAlignment="1">
      <alignment horizontal="center" vertical="center"/>
    </xf>
    <xf numFmtId="0" fontId="21" fillId="14" borderId="42" xfId="0" applyFont="1" applyFill="1" applyBorder="1" applyAlignment="1">
      <alignment horizontal="center" vertical="center"/>
    </xf>
    <xf numFmtId="17" fontId="5" fillId="15" borderId="43" xfId="0" applyNumberFormat="1" applyFont="1" applyFill="1" applyBorder="1"/>
    <xf numFmtId="0" fontId="5" fillId="14" borderId="44" xfId="0" applyFont="1" applyFill="1" applyBorder="1" applyProtection="1">
      <protection hidden="1"/>
    </xf>
    <xf numFmtId="3" fontId="5" fillId="14" borderId="0" xfId="1" applyNumberFormat="1" applyFont="1" applyFill="1" applyBorder="1"/>
    <xf numFmtId="3" fontId="5" fillId="14" borderId="44" xfId="1" applyNumberFormat="1" applyFont="1" applyFill="1" applyBorder="1"/>
    <xf numFmtId="15" fontId="21" fillId="16" borderId="45" xfId="0" applyNumberFormat="1" applyFont="1" applyFill="1" applyBorder="1" applyAlignment="1" applyProtection="1">
      <alignment horizontal="center" vertical="center"/>
      <protection hidden="1"/>
    </xf>
    <xf numFmtId="0" fontId="5" fillId="14" borderId="44" xfId="0" applyFont="1" applyFill="1" applyBorder="1" applyAlignment="1" applyProtection="1">
      <alignment horizontal="center"/>
      <protection hidden="1"/>
    </xf>
    <xf numFmtId="0" fontId="5" fillId="2" borderId="46" xfId="0" applyFont="1" applyFill="1" applyBorder="1" applyAlignment="1">
      <alignment vertical="center"/>
    </xf>
    <xf numFmtId="0" fontId="20" fillId="13" borderId="47" xfId="0" applyFont="1" applyFill="1" applyBorder="1" applyAlignment="1" applyProtection="1">
      <alignment horizontal="right"/>
      <protection hidden="1"/>
    </xf>
    <xf numFmtId="3" fontId="20" fillId="13" borderId="48" xfId="1" applyNumberFormat="1" applyFont="1" applyFill="1" applyBorder="1" applyAlignment="1">
      <alignment vertical="center"/>
    </xf>
    <xf numFmtId="3" fontId="20" fillId="17" borderId="47" xfId="1" applyNumberFormat="1" applyFont="1" applyFill="1" applyBorder="1" applyAlignment="1">
      <alignment vertical="center"/>
    </xf>
    <xf numFmtId="168" fontId="4" fillId="2" borderId="0" xfId="0" applyNumberFormat="1" applyFont="1" applyFill="1"/>
    <xf numFmtId="0" fontId="22" fillId="2" borderId="0" xfId="0" applyFont="1" applyFill="1" applyAlignment="1">
      <alignment vertical="top"/>
    </xf>
    <xf numFmtId="0" fontId="24" fillId="18" borderId="0" xfId="4" applyFont="1" applyFill="1" applyAlignment="1">
      <alignment horizontal="centerContinuous" vertical="center" wrapText="1"/>
    </xf>
    <xf numFmtId="0" fontId="25" fillId="18" borderId="0" xfId="4" applyFont="1" applyFill="1" applyAlignment="1">
      <alignment horizontal="centerContinuous" vertical="center" wrapText="1"/>
    </xf>
    <xf numFmtId="169" fontId="26" fillId="18" borderId="0" xfId="1" applyNumberFormat="1" applyFont="1" applyFill="1" applyBorder="1" applyAlignment="1">
      <alignment horizontal="right" vertical="center" wrapText="1"/>
    </xf>
    <xf numFmtId="0" fontId="26" fillId="18" borderId="0" xfId="4" applyFont="1" applyFill="1" applyAlignment="1">
      <alignment horizontal="right" vertical="center" wrapText="1"/>
    </xf>
    <xf numFmtId="0" fontId="19" fillId="19" borderId="30" xfId="0" applyFont="1" applyFill="1" applyBorder="1" applyAlignment="1">
      <alignment horizontal="left" vertical="center" indent="1"/>
    </xf>
    <xf numFmtId="3" fontId="19" fillId="19" borderId="31" xfId="0" applyNumberFormat="1" applyFont="1" applyFill="1" applyBorder="1" applyAlignment="1">
      <alignment horizontal="center" vertical="center"/>
    </xf>
    <xf numFmtId="3" fontId="19" fillId="19" borderId="32" xfId="1" applyNumberFormat="1" applyFont="1" applyFill="1" applyBorder="1" applyAlignment="1">
      <alignment horizontal="right" vertical="center"/>
    </xf>
    <xf numFmtId="0" fontId="4" fillId="3" borderId="0" xfId="0" applyFont="1" applyFill="1"/>
    <xf numFmtId="0" fontId="21" fillId="20" borderId="34" xfId="0" applyFont="1" applyFill="1" applyBorder="1" applyAlignment="1">
      <alignment horizontal="left" vertical="center"/>
    </xf>
    <xf numFmtId="3" fontId="21" fillId="20" borderId="0" xfId="0" applyNumberFormat="1" applyFont="1" applyFill="1" applyAlignment="1">
      <alignment horizontal="right" vertical="center"/>
    </xf>
    <xf numFmtId="3" fontId="21" fillId="20" borderId="35" xfId="1" applyNumberFormat="1" applyFont="1" applyFill="1" applyBorder="1" applyAlignment="1">
      <alignment horizontal="right" vertical="center"/>
    </xf>
    <xf numFmtId="164" fontId="21" fillId="20" borderId="34" xfId="0" applyNumberFormat="1" applyFont="1" applyFill="1" applyBorder="1" applyAlignment="1">
      <alignment horizontal="right" vertical="center"/>
    </xf>
    <xf numFmtId="164" fontId="21" fillId="20" borderId="0" xfId="0" applyNumberFormat="1" applyFont="1" applyFill="1" applyAlignment="1">
      <alignment horizontal="right" vertical="center"/>
    </xf>
    <xf numFmtId="167" fontId="19" fillId="21" borderId="34" xfId="1" applyFont="1" applyFill="1" applyBorder="1" applyAlignment="1">
      <alignment horizontal="left" vertical="center"/>
    </xf>
    <xf numFmtId="3" fontId="19" fillId="21" borderId="0" xfId="0" applyNumberFormat="1" applyFont="1" applyFill="1" applyAlignment="1">
      <alignment horizontal="center" vertical="center"/>
    </xf>
    <xf numFmtId="3" fontId="19" fillId="21" borderId="35" xfId="1" applyNumberFormat="1" applyFont="1" applyFill="1" applyBorder="1" applyAlignment="1">
      <alignment horizontal="right" vertical="center"/>
    </xf>
    <xf numFmtId="0" fontId="27" fillId="2" borderId="0" xfId="0" applyFont="1" applyFill="1"/>
    <xf numFmtId="167" fontId="21" fillId="22" borderId="34" xfId="1" applyFont="1" applyFill="1" applyBorder="1" applyAlignment="1">
      <alignment horizontal="left" vertical="center"/>
    </xf>
    <xf numFmtId="170" fontId="5" fillId="22" borderId="0" xfId="0" applyNumberFormat="1" applyFont="1" applyFill="1" applyAlignment="1">
      <alignment horizontal="right" vertical="center"/>
    </xf>
    <xf numFmtId="3" fontId="21" fillId="22" borderId="35" xfId="5" applyNumberFormat="1" applyFont="1" applyFill="1" applyBorder="1" applyAlignment="1">
      <alignment horizontal="right" vertical="center"/>
    </xf>
    <xf numFmtId="167" fontId="5" fillId="18" borderId="34" xfId="1" applyFont="1" applyFill="1" applyBorder="1" applyAlignment="1">
      <alignment horizontal="left" vertical="center" indent="1"/>
    </xf>
    <xf numFmtId="3" fontId="5" fillId="18" borderId="0" xfId="0" applyNumberFormat="1" applyFont="1" applyFill="1" applyAlignment="1">
      <alignment horizontal="center" vertical="center"/>
    </xf>
    <xf numFmtId="3" fontId="5" fillId="18" borderId="35" xfId="1" applyNumberFormat="1" applyFont="1" applyFill="1" applyBorder="1" applyAlignment="1">
      <alignment horizontal="right" vertical="center"/>
    </xf>
    <xf numFmtId="0" fontId="11" fillId="12" borderId="0" xfId="0" applyFont="1" applyFill="1"/>
    <xf numFmtId="3" fontId="21" fillId="23" borderId="0" xfId="1" applyNumberFormat="1" applyFont="1" applyFill="1" applyBorder="1" applyAlignment="1">
      <alignment horizontal="right" vertical="center"/>
    </xf>
    <xf numFmtId="167" fontId="5" fillId="18" borderId="34" xfId="1" applyFont="1" applyFill="1" applyBorder="1" applyAlignment="1">
      <alignment horizontal="left" vertical="center" indent="2"/>
    </xf>
    <xf numFmtId="170" fontId="5" fillId="18" borderId="0" xfId="0" applyNumberFormat="1" applyFont="1" applyFill="1" applyAlignment="1">
      <alignment horizontal="right" vertical="center"/>
    </xf>
    <xf numFmtId="3" fontId="29" fillId="18" borderId="35" xfId="1" applyNumberFormat="1" applyFont="1" applyFill="1" applyBorder="1" applyAlignment="1">
      <alignment horizontal="right" vertical="center"/>
    </xf>
    <xf numFmtId="167" fontId="5" fillId="22" borderId="34" xfId="1" applyFont="1" applyFill="1" applyBorder="1" applyAlignment="1">
      <alignment horizontal="left" vertical="center" indent="2"/>
    </xf>
    <xf numFmtId="3" fontId="5" fillId="22" borderId="0" xfId="0" applyNumberFormat="1" applyFont="1" applyFill="1" applyAlignment="1">
      <alignment horizontal="center" vertical="center"/>
    </xf>
    <xf numFmtId="3" fontId="5" fillId="22" borderId="35" xfId="1" applyNumberFormat="1" applyFont="1" applyFill="1" applyBorder="1" applyAlignment="1">
      <alignment horizontal="right" vertical="center"/>
    </xf>
    <xf numFmtId="3" fontId="21" fillId="22" borderId="0" xfId="0" applyNumberFormat="1" applyFont="1" applyFill="1" applyAlignment="1">
      <alignment horizontal="center" vertical="center"/>
    </xf>
    <xf numFmtId="170" fontId="5" fillId="22" borderId="0" xfId="0" applyNumberFormat="1" applyFont="1" applyFill="1" applyAlignment="1">
      <alignment horizontal="center" vertical="center"/>
    </xf>
    <xf numFmtId="0" fontId="7" fillId="2" borderId="0" xfId="0" applyFont="1" applyFill="1"/>
    <xf numFmtId="3" fontId="7" fillId="2" borderId="0" xfId="0" applyNumberFormat="1" applyFont="1" applyFill="1"/>
    <xf numFmtId="167" fontId="5" fillId="18" borderId="34" xfId="1" applyFont="1" applyFill="1" applyBorder="1" applyAlignment="1">
      <alignment horizontal="left" vertical="center"/>
    </xf>
    <xf numFmtId="3" fontId="29" fillId="18" borderId="0" xfId="0" applyNumberFormat="1" applyFont="1" applyFill="1" applyAlignment="1">
      <alignment horizontal="center" vertical="center"/>
    </xf>
    <xf numFmtId="0" fontId="4" fillId="2" borderId="34" xfId="0" applyFont="1" applyFill="1" applyBorder="1"/>
    <xf numFmtId="0" fontId="4" fillId="2" borderId="35" xfId="0" applyFont="1" applyFill="1" applyBorder="1"/>
    <xf numFmtId="0" fontId="10" fillId="26" borderId="0" xfId="0" applyFont="1" applyFill="1"/>
    <xf numFmtId="3" fontId="10" fillId="26" borderId="0" xfId="0" applyNumberFormat="1" applyFont="1" applyFill="1"/>
    <xf numFmtId="167" fontId="5" fillId="22" borderId="34" xfId="1" applyFont="1" applyFill="1" applyBorder="1" applyAlignment="1">
      <alignment horizontal="left" vertical="center" indent="1"/>
    </xf>
    <xf numFmtId="167" fontId="5" fillId="25" borderId="34" xfId="1" applyFont="1" applyFill="1" applyBorder="1" applyAlignment="1">
      <alignment horizontal="left" vertical="center" indent="1"/>
    </xf>
    <xf numFmtId="3" fontId="5" fillId="25" borderId="0" xfId="0" applyNumberFormat="1" applyFont="1" applyFill="1" applyAlignment="1">
      <alignment horizontal="center" vertical="center"/>
    </xf>
    <xf numFmtId="3" fontId="5" fillId="25" borderId="35" xfId="1" applyNumberFormat="1" applyFont="1" applyFill="1" applyBorder="1" applyAlignment="1">
      <alignment horizontal="right" vertical="center"/>
    </xf>
    <xf numFmtId="0" fontId="5" fillId="18" borderId="34" xfId="0" applyFont="1" applyFill="1" applyBorder="1" applyAlignment="1">
      <alignment horizontal="left" vertical="center" indent="2"/>
    </xf>
    <xf numFmtId="167" fontId="19" fillId="21" borderId="37" xfId="1" applyFont="1" applyFill="1" applyBorder="1" applyAlignment="1">
      <alignment horizontal="left" vertical="center"/>
    </xf>
    <xf numFmtId="3" fontId="19" fillId="21" borderId="38" xfId="0" applyNumberFormat="1" applyFont="1" applyFill="1" applyBorder="1" applyAlignment="1">
      <alignment horizontal="center" vertical="center"/>
    </xf>
    <xf numFmtId="3" fontId="19" fillId="21" borderId="39" xfId="1" applyNumberFormat="1" applyFont="1" applyFill="1" applyBorder="1" applyAlignment="1">
      <alignment horizontal="right" vertical="center"/>
    </xf>
    <xf numFmtId="0" fontId="30" fillId="8" borderId="0" xfId="0" applyFont="1" applyFill="1"/>
    <xf numFmtId="4" fontId="15" fillId="2" borderId="0" xfId="0" applyNumberFormat="1" applyFont="1" applyFill="1"/>
    <xf numFmtId="3" fontId="4" fillId="0" borderId="0" xfId="0" applyNumberFormat="1" applyFont="1"/>
    <xf numFmtId="3" fontId="4" fillId="18" borderId="35" xfId="1" applyNumberFormat="1" applyFont="1" applyFill="1" applyBorder="1" applyAlignment="1">
      <alignment horizontal="right" vertical="center"/>
    </xf>
    <xf numFmtId="0" fontId="6" fillId="2" borderId="0" xfId="3" applyFont="1" applyFill="1"/>
    <xf numFmtId="0" fontId="31" fillId="2" borderId="0" xfId="0" applyFont="1" applyFill="1"/>
    <xf numFmtId="0" fontId="32" fillId="15" borderId="0" xfId="0" applyFont="1" applyFill="1" applyAlignment="1" applyProtection="1">
      <alignment horizontal="left" vertical="center"/>
      <protection hidden="1"/>
    </xf>
    <xf numFmtId="0" fontId="21" fillId="15" borderId="0" xfId="0" applyFont="1" applyFill="1" applyAlignment="1" applyProtection="1">
      <alignment horizontal="left" vertical="center"/>
      <protection hidden="1"/>
    </xf>
    <xf numFmtId="15" fontId="21" fillId="16" borderId="0" xfId="0" applyNumberFormat="1" applyFont="1" applyFill="1" applyAlignment="1" applyProtection="1">
      <alignment horizontal="center" vertical="center"/>
      <protection hidden="1"/>
    </xf>
    <xf numFmtId="171" fontId="21" fillId="15" borderId="0" xfId="0" applyNumberFormat="1" applyFont="1" applyFill="1" applyAlignment="1" applyProtection="1">
      <alignment horizontal="left" vertical="center"/>
      <protection hidden="1"/>
    </xf>
    <xf numFmtId="0" fontId="5" fillId="15" borderId="0" xfId="0" applyFont="1" applyFill="1" applyAlignment="1" applyProtection="1">
      <alignment vertical="center"/>
      <protection hidden="1"/>
    </xf>
    <xf numFmtId="0" fontId="21" fillId="15" borderId="0" xfId="0" applyFont="1" applyFill="1" applyAlignment="1" applyProtection="1">
      <alignment horizontal="right" vertical="center"/>
      <protection hidden="1"/>
    </xf>
    <xf numFmtId="166" fontId="4" fillId="27" borderId="0" xfId="0" applyNumberFormat="1" applyFont="1" applyFill="1"/>
    <xf numFmtId="4" fontId="5" fillId="0" borderId="0" xfId="0" applyNumberFormat="1" applyFont="1" applyAlignment="1" applyProtection="1">
      <alignment vertical="center"/>
      <protection hidden="1"/>
    </xf>
    <xf numFmtId="0" fontId="19" fillId="13" borderId="0" xfId="0" applyFont="1" applyFill="1" applyAlignment="1" applyProtection="1">
      <alignment horizontal="centerContinuous" vertical="center" wrapText="1"/>
      <protection hidden="1"/>
    </xf>
    <xf numFmtId="0" fontId="10" fillId="28" borderId="0" xfId="0" applyFont="1" applyFill="1" applyAlignment="1">
      <alignment horizontal="center" vertical="center" wrapText="1"/>
    </xf>
    <xf numFmtId="15" fontId="5" fillId="30" borderId="0" xfId="0" applyNumberFormat="1" applyFont="1" applyFill="1" applyAlignment="1" applyProtection="1">
      <alignment horizontal="center" vertical="center"/>
      <protection hidden="1"/>
    </xf>
    <xf numFmtId="172" fontId="5" fillId="30" borderId="0" xfId="0" applyNumberFormat="1" applyFont="1" applyFill="1" applyAlignment="1" applyProtection="1">
      <alignment horizontal="center" vertical="center"/>
      <protection hidden="1"/>
    </xf>
    <xf numFmtId="0" fontId="5" fillId="30" borderId="0" xfId="0" applyFont="1" applyFill="1" applyAlignment="1" applyProtection="1">
      <alignment horizontal="center" vertical="center"/>
      <protection hidden="1"/>
    </xf>
    <xf numFmtId="10" fontId="5" fillId="30" borderId="0" xfId="0" applyNumberFormat="1" applyFont="1" applyFill="1" applyAlignment="1" applyProtection="1">
      <alignment horizontal="center" vertical="center"/>
      <protection hidden="1"/>
    </xf>
    <xf numFmtId="3" fontId="5" fillId="30" borderId="0" xfId="0" applyNumberFormat="1" applyFont="1" applyFill="1" applyAlignment="1" applyProtection="1">
      <alignment horizontal="center" vertical="center"/>
      <protection hidden="1"/>
    </xf>
    <xf numFmtId="3" fontId="5" fillId="31" borderId="0" xfId="0" applyNumberFormat="1" applyFont="1" applyFill="1" applyAlignment="1" applyProtection="1">
      <alignment horizontal="center" vertical="center"/>
      <protection hidden="1"/>
    </xf>
    <xf numFmtId="15" fontId="29" fillId="30" borderId="0" xfId="0" applyNumberFormat="1" applyFont="1" applyFill="1" applyAlignment="1" applyProtection="1">
      <alignment horizontal="center" vertical="center"/>
      <protection hidden="1"/>
    </xf>
    <xf numFmtId="0" fontId="5" fillId="31" borderId="0" xfId="0" applyFont="1" applyFill="1" applyAlignment="1" applyProtection="1">
      <alignment horizontal="center" vertical="center"/>
      <protection hidden="1"/>
    </xf>
    <xf numFmtId="0" fontId="19" fillId="13" borderId="0" xfId="0" applyFont="1" applyFill="1" applyAlignment="1" applyProtection="1">
      <alignment vertical="center"/>
      <protection hidden="1"/>
    </xf>
    <xf numFmtId="3" fontId="19" fillId="13" borderId="0" xfId="0" applyNumberFormat="1" applyFont="1" applyFill="1" applyAlignment="1" applyProtection="1">
      <alignment horizontal="center" vertical="center"/>
      <protection hidden="1"/>
    </xf>
    <xf numFmtId="0" fontId="11" fillId="2" borderId="0" xfId="0" applyFont="1" applyFill="1"/>
    <xf numFmtId="0" fontId="10" fillId="28" borderId="0" xfId="0" applyFont="1" applyFill="1" applyAlignment="1">
      <alignment horizontal="left" vertical="center" wrapText="1"/>
    </xf>
    <xf numFmtId="0" fontId="10" fillId="28" borderId="0" xfId="0" applyFont="1" applyFill="1" applyAlignment="1">
      <alignment vertical="center"/>
    </xf>
    <xf numFmtId="0" fontId="11" fillId="3" borderId="0" xfId="0" applyFont="1" applyFill="1" applyAlignment="1">
      <alignment horizontal="left" vertical="center" wrapText="1"/>
    </xf>
    <xf numFmtId="165" fontId="4" fillId="2" borderId="0" xfId="0" applyNumberFormat="1" applyFont="1" applyFill="1" applyAlignment="1">
      <alignment vertical="center"/>
    </xf>
    <xf numFmtId="164" fontId="4" fillId="10" borderId="0" xfId="0" applyNumberFormat="1" applyFont="1" applyFill="1" applyAlignment="1">
      <alignment vertical="center"/>
    </xf>
    <xf numFmtId="3" fontId="10" fillId="28" borderId="0" xfId="0" applyNumberFormat="1" applyFont="1" applyFill="1" applyAlignment="1">
      <alignment vertical="center"/>
    </xf>
    <xf numFmtId="0" fontId="4" fillId="2" borderId="0" xfId="0" applyFont="1" applyFill="1" applyAlignment="1">
      <alignment vertical="center"/>
    </xf>
    <xf numFmtId="0" fontId="7" fillId="2" borderId="0" xfId="0" applyFont="1" applyFill="1" applyAlignment="1">
      <alignment vertical="center" wrapText="1"/>
    </xf>
    <xf numFmtId="15" fontId="0" fillId="0" borderId="0" xfId="0" applyNumberFormat="1"/>
    <xf numFmtId="10" fontId="7" fillId="2" borderId="0" xfId="0" applyNumberFormat="1" applyFont="1" applyFill="1" applyAlignment="1">
      <alignment vertical="center" wrapText="1"/>
    </xf>
    <xf numFmtId="3" fontId="7" fillId="2" borderId="0" xfId="0" applyNumberFormat="1" applyFont="1" applyFill="1" applyAlignment="1">
      <alignment vertical="center" wrapText="1"/>
    </xf>
    <xf numFmtId="15" fontId="4" fillId="2" borderId="0" xfId="0" applyNumberFormat="1" applyFont="1" applyFill="1"/>
    <xf numFmtId="10" fontId="4" fillId="2" borderId="0" xfId="0" applyNumberFormat="1" applyFont="1" applyFill="1"/>
    <xf numFmtId="0" fontId="22" fillId="2" borderId="0" xfId="0" applyFont="1" applyFill="1" applyAlignment="1">
      <alignment vertical="center"/>
    </xf>
    <xf numFmtId="0" fontId="33" fillId="8" borderId="0" xfId="0" applyFont="1" applyFill="1" applyAlignment="1">
      <alignment vertical="center" wrapText="1"/>
    </xf>
    <xf numFmtId="0" fontId="10" fillId="28" borderId="44" xfId="0" applyFont="1" applyFill="1" applyBorder="1" applyAlignment="1">
      <alignment vertical="center"/>
    </xf>
    <xf numFmtId="0" fontId="34" fillId="2" borderId="0" xfId="0" applyFont="1" applyFill="1" applyAlignment="1">
      <alignment vertical="center"/>
    </xf>
    <xf numFmtId="0" fontId="33" fillId="2" borderId="0" xfId="0" applyFont="1" applyFill="1" applyAlignment="1">
      <alignment vertical="center" wrapText="1"/>
    </xf>
    <xf numFmtId="0" fontId="35" fillId="28" borderId="0" xfId="0" applyFont="1" applyFill="1" applyAlignment="1">
      <alignment horizontal="center" vertical="center"/>
    </xf>
    <xf numFmtId="0" fontId="35" fillId="28" borderId="49" xfId="0" applyFont="1" applyFill="1" applyBorder="1" applyAlignment="1">
      <alignment horizontal="center" vertical="center"/>
    </xf>
    <xf numFmtId="0" fontId="37" fillId="12" borderId="49" xfId="0" applyFont="1" applyFill="1" applyBorder="1" applyAlignment="1">
      <alignment vertical="center" wrapText="1"/>
    </xf>
    <xf numFmtId="3" fontId="38" fillId="8" borderId="31" xfId="0" applyNumberFormat="1" applyFont="1" applyFill="1" applyBorder="1" applyAlignment="1">
      <alignment vertical="center"/>
    </xf>
    <xf numFmtId="3" fontId="4" fillId="8" borderId="31" xfId="2" applyNumberFormat="1" applyFont="1" applyFill="1" applyBorder="1" applyAlignment="1">
      <alignment vertical="center"/>
    </xf>
    <xf numFmtId="0" fontId="37" fillId="12" borderId="36" xfId="0" applyFont="1" applyFill="1" applyBorder="1" applyAlignment="1">
      <alignment vertical="center" wrapText="1"/>
    </xf>
    <xf numFmtId="173" fontId="38" fillId="8" borderId="38" xfId="2" applyNumberFormat="1" applyFont="1" applyFill="1" applyBorder="1" applyAlignment="1">
      <alignment vertical="center"/>
    </xf>
    <xf numFmtId="173" fontId="4" fillId="24" borderId="38" xfId="2" applyNumberFormat="1" applyFont="1" applyFill="1" applyBorder="1" applyAlignment="1">
      <alignment vertical="center"/>
    </xf>
    <xf numFmtId="173" fontId="4" fillId="24" borderId="39" xfId="2" applyNumberFormat="1" applyFont="1" applyFill="1" applyBorder="1" applyAlignment="1">
      <alignment vertical="center"/>
    </xf>
    <xf numFmtId="3" fontId="4" fillId="8" borderId="32" xfId="2" applyNumberFormat="1" applyFont="1" applyFill="1" applyBorder="1" applyAlignment="1">
      <alignment vertical="center"/>
    </xf>
    <xf numFmtId="0" fontId="36" fillId="8" borderId="27" xfId="0" applyFont="1" applyFill="1" applyBorder="1" applyAlignment="1">
      <alignment horizontal="center" vertical="center" wrapText="1"/>
    </xf>
    <xf numFmtId="0" fontId="37" fillId="12" borderId="26" xfId="0" applyFont="1" applyFill="1" applyBorder="1" applyAlignment="1">
      <alignment vertical="center" wrapText="1"/>
    </xf>
    <xf numFmtId="173" fontId="38" fillId="8" borderId="28" xfId="2" applyNumberFormat="1" applyFont="1" applyFill="1" applyBorder="1" applyAlignment="1">
      <alignment vertical="center"/>
    </xf>
    <xf numFmtId="173" fontId="4" fillId="24" borderId="28" xfId="2" applyNumberFormat="1" applyFont="1" applyFill="1" applyBorder="1" applyAlignment="1">
      <alignment vertical="center"/>
    </xf>
    <xf numFmtId="173" fontId="4" fillId="24" borderId="29" xfId="2" applyNumberFormat="1" applyFont="1" applyFill="1" applyBorder="1" applyAlignment="1">
      <alignment vertical="center"/>
    </xf>
    <xf numFmtId="9" fontId="4" fillId="24" borderId="28" xfId="2" applyFont="1" applyFill="1" applyBorder="1" applyAlignment="1">
      <alignment vertical="center"/>
    </xf>
    <xf numFmtId="9" fontId="4" fillId="24" borderId="29" xfId="2" applyFont="1" applyFill="1" applyBorder="1" applyAlignment="1">
      <alignment vertical="center"/>
    </xf>
    <xf numFmtId="165" fontId="38" fillId="8" borderId="28" xfId="0" applyNumberFormat="1" applyFont="1" applyFill="1" applyBorder="1" applyAlignment="1">
      <alignment vertical="center"/>
    </xf>
    <xf numFmtId="164" fontId="4" fillId="8" borderId="28" xfId="0" applyNumberFormat="1" applyFont="1" applyFill="1" applyBorder="1" applyAlignment="1">
      <alignment vertical="center"/>
    </xf>
    <xf numFmtId="164" fontId="4" fillId="8" borderId="29" xfId="0" applyNumberFormat="1" applyFont="1" applyFill="1" applyBorder="1" applyAlignment="1">
      <alignment vertical="center"/>
    </xf>
    <xf numFmtId="164" fontId="4" fillId="8" borderId="31" xfId="0" applyNumberFormat="1" applyFont="1" applyFill="1" applyBorder="1" applyAlignment="1">
      <alignment vertical="center"/>
    </xf>
    <xf numFmtId="3" fontId="4" fillId="24" borderId="31" xfId="0" applyNumberFormat="1" applyFont="1" applyFill="1" applyBorder="1" applyAlignment="1">
      <alignment vertical="center"/>
    </xf>
    <xf numFmtId="3" fontId="4" fillId="24" borderId="32" xfId="0" applyNumberFormat="1" applyFont="1" applyFill="1" applyBorder="1" applyAlignment="1">
      <alignment vertical="center"/>
    </xf>
    <xf numFmtId="0" fontId="37" fillId="12" borderId="33" xfId="0" applyFont="1" applyFill="1" applyBorder="1" applyAlignment="1">
      <alignment vertical="center"/>
    </xf>
    <xf numFmtId="9" fontId="4" fillId="2" borderId="0" xfId="2" applyFont="1" applyFill="1" applyBorder="1" applyAlignment="1">
      <alignment vertical="center"/>
    </xf>
    <xf numFmtId="9" fontId="4" fillId="2" borderId="35" xfId="2" applyFont="1" applyFill="1" applyBorder="1" applyAlignment="1">
      <alignment vertical="center"/>
    </xf>
    <xf numFmtId="3" fontId="4" fillId="24" borderId="0" xfId="2" applyNumberFormat="1" applyFont="1" applyFill="1" applyBorder="1" applyAlignment="1">
      <alignment vertical="center"/>
    </xf>
    <xf numFmtId="3" fontId="4" fillId="24" borderId="0" xfId="0" applyNumberFormat="1" applyFont="1" applyFill="1" applyAlignment="1">
      <alignment vertical="center"/>
    </xf>
    <xf numFmtId="3" fontId="4" fillId="24" borderId="35" xfId="0" applyNumberFormat="1" applyFont="1" applyFill="1" applyBorder="1" applyAlignment="1">
      <alignment vertical="center"/>
    </xf>
    <xf numFmtId="0" fontId="37" fillId="12" borderId="36" xfId="0" applyFont="1" applyFill="1" applyBorder="1" applyAlignment="1">
      <alignment vertical="center"/>
    </xf>
    <xf numFmtId="173" fontId="38" fillId="8" borderId="38" xfId="0" applyNumberFormat="1" applyFont="1" applyFill="1" applyBorder="1" applyAlignment="1">
      <alignment vertical="center"/>
    </xf>
    <xf numFmtId="9" fontId="4" fillId="2" borderId="38" xfId="2" applyFont="1" applyFill="1" applyBorder="1" applyAlignment="1">
      <alignment vertical="center"/>
    </xf>
    <xf numFmtId="9" fontId="4" fillId="2" borderId="39" xfId="2" applyFont="1" applyFill="1" applyBorder="1" applyAlignment="1">
      <alignment vertical="center"/>
    </xf>
    <xf numFmtId="0" fontId="39" fillId="12" borderId="49" xfId="0" applyFont="1" applyFill="1" applyBorder="1" applyAlignment="1">
      <alignment vertical="center" wrapText="1"/>
    </xf>
    <xf numFmtId="173" fontId="40" fillId="8" borderId="31" xfId="2" applyNumberFormat="1" applyFont="1" applyFill="1" applyBorder="1" applyAlignment="1">
      <alignment vertical="center"/>
    </xf>
    <xf numFmtId="9" fontId="11" fillId="8" borderId="31" xfId="2" applyFont="1" applyFill="1" applyBorder="1" applyAlignment="1">
      <alignment vertical="center"/>
    </xf>
    <xf numFmtId="9" fontId="11" fillId="8" borderId="32" xfId="2" applyFont="1" applyFill="1" applyBorder="1" applyAlignment="1">
      <alignment vertical="center"/>
    </xf>
    <xf numFmtId="0" fontId="37" fillId="12" borderId="33" xfId="0" applyFont="1" applyFill="1" applyBorder="1" applyAlignment="1">
      <alignment vertical="center" wrapText="1"/>
    </xf>
    <xf numFmtId="173" fontId="38" fillId="8" borderId="0" xfId="2" applyNumberFormat="1" applyFont="1" applyFill="1" applyBorder="1" applyAlignment="1">
      <alignment vertical="center"/>
    </xf>
    <xf numFmtId="9" fontId="4" fillId="24" borderId="0" xfId="2" applyFont="1" applyFill="1" applyBorder="1" applyAlignment="1">
      <alignment vertical="center"/>
    </xf>
    <xf numFmtId="9" fontId="4" fillId="2" borderId="0" xfId="0" applyNumberFormat="1" applyFont="1" applyFill="1" applyAlignment="1">
      <alignment vertical="center"/>
    </xf>
    <xf numFmtId="9" fontId="4" fillId="24" borderId="38" xfId="2" applyFont="1" applyFill="1" applyBorder="1" applyAlignment="1">
      <alignment vertical="center"/>
    </xf>
    <xf numFmtId="173" fontId="38" fillId="8" borderId="31" xfId="2" applyNumberFormat="1" applyFont="1" applyFill="1" applyBorder="1" applyAlignment="1">
      <alignment vertical="center"/>
    </xf>
    <xf numFmtId="0" fontId="37" fillId="12" borderId="33" xfId="0" applyFont="1" applyFill="1" applyBorder="1" applyAlignment="1">
      <alignment horizontal="left" vertical="center"/>
    </xf>
    <xf numFmtId="9" fontId="4" fillId="24" borderId="35" xfId="2" applyFont="1" applyFill="1" applyBorder="1" applyAlignment="1">
      <alignment vertical="center"/>
    </xf>
    <xf numFmtId="9" fontId="4" fillId="2" borderId="0" xfId="2" applyFont="1" applyFill="1" applyAlignment="1">
      <alignment vertical="center"/>
    </xf>
    <xf numFmtId="0" fontId="37" fillId="12" borderId="36" xfId="0" applyFont="1" applyFill="1" applyBorder="1" applyAlignment="1">
      <alignment horizontal="left" vertical="center"/>
    </xf>
    <xf numFmtId="0" fontId="39" fillId="12" borderId="49" xfId="0" applyFont="1" applyFill="1" applyBorder="1" applyAlignment="1">
      <alignment vertical="center"/>
    </xf>
    <xf numFmtId="174" fontId="40" fillId="8" borderId="31" xfId="0" applyNumberFormat="1" applyFont="1" applyFill="1" applyBorder="1" applyAlignment="1">
      <alignment vertical="center"/>
    </xf>
    <xf numFmtId="173" fontId="11" fillId="8" borderId="31" xfId="2" applyNumberFormat="1" applyFont="1" applyFill="1" applyBorder="1" applyAlignment="1">
      <alignment vertical="center"/>
    </xf>
    <xf numFmtId="0" fontId="11" fillId="2" borderId="0" xfId="0" applyFont="1" applyFill="1" applyAlignment="1">
      <alignment vertical="center"/>
    </xf>
    <xf numFmtId="0" fontId="4" fillId="8" borderId="0" xfId="0" applyFont="1" applyFill="1" applyAlignment="1">
      <alignment vertical="center"/>
    </xf>
    <xf numFmtId="0" fontId="39" fillId="12" borderId="33" xfId="0" applyFont="1" applyFill="1" applyBorder="1" applyAlignment="1">
      <alignment vertical="center"/>
    </xf>
    <xf numFmtId="10" fontId="11" fillId="8" borderId="35" xfId="2" applyNumberFormat="1" applyFont="1" applyFill="1" applyBorder="1" applyAlignment="1">
      <alignment vertical="center"/>
    </xf>
    <xf numFmtId="173" fontId="4" fillId="2" borderId="0" xfId="0" applyNumberFormat="1" applyFont="1" applyFill="1" applyAlignment="1">
      <alignment vertical="center"/>
    </xf>
    <xf numFmtId="0" fontId="4" fillId="2" borderId="38" xfId="0" applyFont="1" applyFill="1" applyBorder="1" applyAlignment="1">
      <alignment vertical="center"/>
    </xf>
    <xf numFmtId="0" fontId="4" fillId="2" borderId="39" xfId="0" applyFont="1" applyFill="1" applyBorder="1" applyAlignment="1">
      <alignment vertical="center"/>
    </xf>
    <xf numFmtId="173" fontId="4" fillId="24" borderId="0" xfId="2" applyNumberFormat="1" applyFont="1" applyFill="1" applyBorder="1" applyAlignment="1">
      <alignment vertical="center"/>
    </xf>
    <xf numFmtId="173" fontId="4" fillId="24" borderId="35" xfId="2" applyNumberFormat="1" applyFont="1" applyFill="1" applyBorder="1" applyAlignment="1">
      <alignment vertical="center"/>
    </xf>
    <xf numFmtId="175" fontId="11" fillId="8" borderId="31" xfId="1" applyNumberFormat="1" applyFont="1" applyFill="1" applyBorder="1" applyAlignment="1">
      <alignment vertical="center"/>
    </xf>
    <xf numFmtId="173" fontId="11" fillId="8" borderId="32" xfId="2" applyNumberFormat="1" applyFont="1" applyFill="1" applyBorder="1" applyAlignment="1">
      <alignment vertical="center"/>
    </xf>
    <xf numFmtId="174" fontId="11" fillId="8" borderId="0" xfId="0" applyNumberFormat="1" applyFont="1" applyFill="1" applyAlignment="1">
      <alignment vertical="center"/>
    </xf>
    <xf numFmtId="0" fontId="11" fillId="8" borderId="0" xfId="0" applyFont="1" applyFill="1" applyAlignment="1">
      <alignment vertical="center"/>
    </xf>
    <xf numFmtId="0" fontId="4" fillId="8" borderId="35" xfId="0" applyFont="1" applyFill="1" applyBorder="1" applyAlignment="1">
      <alignment vertical="center"/>
    </xf>
    <xf numFmtId="173" fontId="11" fillId="8" borderId="0" xfId="2" applyNumberFormat="1" applyFont="1" applyFill="1" applyBorder="1" applyAlignment="1">
      <alignment vertical="center"/>
    </xf>
    <xf numFmtId="173" fontId="11" fillId="8" borderId="35" xfId="2" applyNumberFormat="1" applyFont="1" applyFill="1" applyBorder="1" applyAlignment="1">
      <alignment vertical="center"/>
    </xf>
    <xf numFmtId="174" fontId="4" fillId="8" borderId="0" xfId="0" applyNumberFormat="1" applyFont="1" applyFill="1" applyAlignment="1">
      <alignment vertical="center"/>
    </xf>
    <xf numFmtId="10" fontId="4" fillId="24" borderId="35" xfId="0" applyNumberFormat="1" applyFont="1" applyFill="1" applyBorder="1" applyAlignment="1">
      <alignment vertical="center"/>
    </xf>
    <xf numFmtId="0" fontId="4" fillId="2" borderId="35" xfId="0" applyFont="1" applyFill="1" applyBorder="1" applyAlignment="1">
      <alignment vertical="center"/>
    </xf>
    <xf numFmtId="0" fontId="4" fillId="8" borderId="38" xfId="0" applyFont="1" applyFill="1" applyBorder="1" applyAlignment="1">
      <alignment vertical="center"/>
    </xf>
    <xf numFmtId="9" fontId="11" fillId="2" borderId="31" xfId="2" applyFont="1" applyFill="1" applyBorder="1" applyAlignment="1">
      <alignment vertical="center"/>
    </xf>
    <xf numFmtId="9" fontId="11" fillId="2" borderId="32" xfId="2" applyFont="1" applyFill="1" applyBorder="1" applyAlignment="1">
      <alignment vertical="center"/>
    </xf>
    <xf numFmtId="9" fontId="4" fillId="24" borderId="39" xfId="2" applyFont="1" applyFill="1" applyBorder="1" applyAlignment="1">
      <alignment vertical="center"/>
    </xf>
    <xf numFmtId="174" fontId="11" fillId="8" borderId="31" xfId="0" applyNumberFormat="1" applyFont="1" applyFill="1" applyBorder="1" applyAlignment="1">
      <alignment vertical="center"/>
    </xf>
    <xf numFmtId="174" fontId="11" fillId="8" borderId="32" xfId="0" applyNumberFormat="1" applyFont="1" applyFill="1" applyBorder="1" applyAlignment="1">
      <alignment vertical="center"/>
    </xf>
    <xf numFmtId="10" fontId="4" fillId="2" borderId="0" xfId="0" applyNumberFormat="1" applyFont="1" applyFill="1" applyAlignment="1">
      <alignment vertical="center"/>
    </xf>
    <xf numFmtId="174" fontId="11" fillId="8" borderId="35" xfId="0" applyNumberFormat="1" applyFont="1" applyFill="1" applyBorder="1" applyAlignment="1">
      <alignment vertical="center"/>
    </xf>
    <xf numFmtId="173" fontId="4" fillId="8" borderId="0" xfId="2" applyNumberFormat="1" applyFont="1" applyFill="1" applyBorder="1" applyAlignment="1">
      <alignment vertical="center"/>
    </xf>
    <xf numFmtId="173" fontId="4" fillId="8" borderId="38" xfId="2" applyNumberFormat="1" applyFont="1" applyFill="1" applyBorder="1" applyAlignment="1">
      <alignment vertical="center"/>
    </xf>
    <xf numFmtId="173" fontId="4" fillId="24" borderId="35" xfId="0" applyNumberFormat="1" applyFont="1" applyFill="1" applyBorder="1" applyAlignment="1">
      <alignment vertical="center"/>
    </xf>
    <xf numFmtId="1" fontId="11" fillId="8" borderId="35" xfId="0" applyNumberFormat="1" applyFont="1" applyFill="1" applyBorder="1" applyAlignment="1">
      <alignment vertical="center"/>
    </xf>
    <xf numFmtId="0" fontId="37" fillId="12" borderId="49" xfId="0" applyFont="1" applyFill="1" applyBorder="1" applyAlignment="1">
      <alignment vertical="center"/>
    </xf>
    <xf numFmtId="173" fontId="4" fillId="8" borderId="31" xfId="2" applyNumberFormat="1" applyFont="1" applyFill="1" applyBorder="1" applyAlignment="1">
      <alignment vertical="center"/>
    </xf>
    <xf numFmtId="173" fontId="4" fillId="8" borderId="31" xfId="0" applyNumberFormat="1" applyFont="1" applyFill="1" applyBorder="1" applyAlignment="1">
      <alignment horizontal="right" vertical="center"/>
    </xf>
    <xf numFmtId="173" fontId="4" fillId="8" borderId="32" xfId="0" applyNumberFormat="1" applyFont="1" applyFill="1" applyBorder="1" applyAlignment="1">
      <alignment horizontal="right" vertical="center"/>
    </xf>
    <xf numFmtId="173" fontId="4" fillId="2" borderId="0" xfId="2" applyNumberFormat="1" applyFont="1" applyFill="1" applyAlignment="1">
      <alignment vertical="center"/>
    </xf>
    <xf numFmtId="173" fontId="4" fillId="8" borderId="38" xfId="0" applyNumberFormat="1" applyFont="1" applyFill="1" applyBorder="1" applyAlignment="1">
      <alignment horizontal="right" vertical="center"/>
    </xf>
    <xf numFmtId="173" fontId="4" fillId="8" borderId="39" xfId="0" applyNumberFormat="1" applyFont="1" applyFill="1" applyBorder="1" applyAlignment="1">
      <alignment horizontal="right" vertical="center"/>
    </xf>
    <xf numFmtId="165" fontId="37" fillId="12" borderId="49" xfId="0" applyNumberFormat="1" applyFont="1" applyFill="1" applyBorder="1" applyAlignment="1">
      <alignment vertical="center"/>
    </xf>
    <xf numFmtId="3" fontId="4" fillId="2" borderId="0" xfId="0" applyNumberFormat="1" applyFont="1" applyFill="1" applyAlignment="1">
      <alignment vertical="center"/>
    </xf>
    <xf numFmtId="173" fontId="4" fillId="2" borderId="38" xfId="2" applyNumberFormat="1" applyFont="1" applyFill="1" applyBorder="1" applyAlignment="1">
      <alignment vertical="center"/>
    </xf>
    <xf numFmtId="173" fontId="4" fillId="2" borderId="39" xfId="2" applyNumberFormat="1" applyFont="1" applyFill="1" applyBorder="1" applyAlignment="1">
      <alignment vertical="center"/>
    </xf>
    <xf numFmtId="173" fontId="4" fillId="3" borderId="38" xfId="2" applyNumberFormat="1" applyFont="1" applyFill="1" applyBorder="1" applyAlignment="1">
      <alignment vertical="center"/>
    </xf>
    <xf numFmtId="173" fontId="4" fillId="3" borderId="39" xfId="2" applyNumberFormat="1" applyFont="1" applyFill="1" applyBorder="1" applyAlignment="1">
      <alignment vertical="center"/>
    </xf>
    <xf numFmtId="3" fontId="11" fillId="8" borderId="0" xfId="0" applyNumberFormat="1" applyFont="1" applyFill="1" applyAlignment="1">
      <alignment vertical="center"/>
    </xf>
    <xf numFmtId="3" fontId="11" fillId="8" borderId="35" xfId="0" applyNumberFormat="1" applyFont="1" applyFill="1" applyBorder="1" applyAlignment="1">
      <alignment vertical="center"/>
    </xf>
    <xf numFmtId="165" fontId="37" fillId="12" borderId="33" xfId="0" applyNumberFormat="1" applyFont="1" applyFill="1" applyBorder="1" applyAlignment="1">
      <alignment vertical="center"/>
    </xf>
    <xf numFmtId="173" fontId="4" fillId="2" borderId="0" xfId="2" applyNumberFormat="1" applyFont="1" applyFill="1" applyBorder="1" applyAlignment="1">
      <alignment vertical="center"/>
    </xf>
    <xf numFmtId="173" fontId="4" fillId="2" borderId="35" xfId="2" applyNumberFormat="1" applyFont="1" applyFill="1" applyBorder="1" applyAlignment="1">
      <alignment vertical="center"/>
    </xf>
    <xf numFmtId="0" fontId="33" fillId="8" borderId="0" xfId="0" applyFont="1" applyFill="1" applyAlignment="1">
      <alignment vertical="center"/>
    </xf>
    <xf numFmtId="0" fontId="37" fillId="8" borderId="0" xfId="0" applyFont="1" applyFill="1" applyAlignment="1">
      <alignment vertical="center"/>
    </xf>
    <xf numFmtId="0" fontId="10" fillId="32" borderId="30" xfId="0" applyFont="1" applyFill="1" applyBorder="1"/>
    <xf numFmtId="174" fontId="10" fillId="32" borderId="31" xfId="0" applyNumberFormat="1" applyFont="1" applyFill="1" applyBorder="1"/>
    <xf numFmtId="0" fontId="11" fillId="33" borderId="50" xfId="0" applyFont="1" applyFill="1" applyBorder="1"/>
    <xf numFmtId="3" fontId="40" fillId="33" borderId="51" xfId="0" applyNumberFormat="1" applyFont="1" applyFill="1" applyBorder="1"/>
    <xf numFmtId="0" fontId="11" fillId="33" borderId="34" xfId="0" applyFont="1" applyFill="1" applyBorder="1"/>
    <xf numFmtId="3" fontId="11" fillId="33" borderId="0" xfId="0" applyNumberFormat="1" applyFont="1" applyFill="1"/>
    <xf numFmtId="0" fontId="7" fillId="12" borderId="34" xfId="0" applyFont="1" applyFill="1" applyBorder="1" applyAlignment="1">
      <alignment horizontal="left" indent="1"/>
    </xf>
    <xf numFmtId="0" fontId="4" fillId="2" borderId="34" xfId="0" applyFont="1" applyFill="1" applyBorder="1" applyAlignment="1">
      <alignment horizontal="left" vertical="center" indent="2"/>
    </xf>
    <xf numFmtId="3" fontId="4" fillId="8" borderId="0" xfId="0" applyNumberFormat="1" applyFont="1" applyFill="1"/>
    <xf numFmtId="0" fontId="4" fillId="2" borderId="34" xfId="0" applyFont="1" applyFill="1" applyBorder="1" applyAlignment="1">
      <alignment horizontal="left" indent="2"/>
    </xf>
    <xf numFmtId="0" fontId="11" fillId="33" borderId="37" xfId="0" applyFont="1" applyFill="1" applyBorder="1"/>
    <xf numFmtId="3" fontId="11" fillId="33" borderId="38" xfId="0" applyNumberFormat="1" applyFont="1" applyFill="1" applyBorder="1"/>
    <xf numFmtId="3" fontId="7" fillId="8" borderId="0" xfId="0" applyNumberFormat="1" applyFont="1" applyFill="1"/>
    <xf numFmtId="0" fontId="11" fillId="33" borderId="30" xfId="0" applyFont="1" applyFill="1" applyBorder="1"/>
    <xf numFmtId="3" fontId="11" fillId="33" borderId="31" xfId="0" applyNumberFormat="1" applyFont="1" applyFill="1" applyBorder="1"/>
    <xf numFmtId="0" fontId="7" fillId="2" borderId="34" xfId="0" applyFont="1" applyFill="1" applyBorder="1" applyAlignment="1">
      <alignment horizontal="left" indent="3"/>
    </xf>
    <xf numFmtId="0" fontId="7" fillId="2" borderId="37" xfId="0" applyFont="1" applyFill="1" applyBorder="1" applyAlignment="1">
      <alignment horizontal="left" indent="3"/>
    </xf>
    <xf numFmtId="3" fontId="4" fillId="2" borderId="38" xfId="0" applyNumberFormat="1" applyFont="1" applyFill="1" applyBorder="1"/>
    <xf numFmtId="3" fontId="4" fillId="8" borderId="0" xfId="0" applyNumberFormat="1" applyFont="1" applyFill="1" applyAlignment="1">
      <alignment vertical="center"/>
    </xf>
    <xf numFmtId="0" fontId="4" fillId="2" borderId="34" xfId="0" applyFont="1" applyFill="1" applyBorder="1" applyAlignment="1">
      <alignment horizontal="left" wrapText="1" indent="2"/>
    </xf>
    <xf numFmtId="3" fontId="4" fillId="24" borderId="38" xfId="0" applyNumberFormat="1" applyFont="1" applyFill="1" applyBorder="1" applyAlignment="1">
      <alignment vertical="center"/>
    </xf>
    <xf numFmtId="0" fontId="4" fillId="2" borderId="37" xfId="0" applyFont="1" applyFill="1" applyBorder="1" applyAlignment="1">
      <alignment horizontal="left" wrapText="1" indent="2"/>
    </xf>
    <xf numFmtId="1" fontId="4" fillId="8" borderId="38" xfId="0" applyNumberFormat="1" applyFont="1" applyFill="1" applyBorder="1" applyAlignment="1">
      <alignment vertical="center"/>
    </xf>
    <xf numFmtId="1" fontId="4" fillId="24" borderId="38" xfId="0" applyNumberFormat="1" applyFont="1" applyFill="1" applyBorder="1" applyAlignment="1">
      <alignment vertical="center"/>
    </xf>
    <xf numFmtId="0" fontId="4" fillId="2" borderId="0" xfId="0" applyFont="1" applyFill="1" applyAlignment="1">
      <alignment horizontal="left" indent="2"/>
    </xf>
    <xf numFmtId="0" fontId="10" fillId="35" borderId="27" xfId="0" applyFont="1" applyFill="1" applyBorder="1"/>
    <xf numFmtId="3" fontId="10" fillId="35" borderId="28" xfId="0" applyNumberFormat="1" applyFont="1" applyFill="1" applyBorder="1"/>
    <xf numFmtId="1" fontId="10" fillId="32" borderId="0" xfId="0" applyNumberFormat="1" applyFont="1" applyFill="1" applyAlignment="1">
      <alignment horizontal="right" vertical="center"/>
    </xf>
    <xf numFmtId="0" fontId="4" fillId="2" borderId="0" xfId="0" applyFont="1" applyFill="1" applyAlignment="1">
      <alignment horizontal="left" vertical="center" wrapText="1"/>
    </xf>
    <xf numFmtId="3" fontId="5" fillId="2" borderId="0" xfId="0" applyNumberFormat="1" applyFont="1" applyFill="1" applyAlignment="1">
      <alignment vertical="center"/>
    </xf>
    <xf numFmtId="10" fontId="4" fillId="2" borderId="0" xfId="2" applyNumberFormat="1" applyFont="1" applyFill="1" applyBorder="1" applyAlignment="1">
      <alignment vertical="center"/>
    </xf>
    <xf numFmtId="1" fontId="4" fillId="8" borderId="0" xfId="2" applyNumberFormat="1" applyFont="1" applyFill="1" applyBorder="1" applyAlignment="1">
      <alignment vertical="center"/>
    </xf>
    <xf numFmtId="1" fontId="4" fillId="2" borderId="0" xfId="2" applyNumberFormat="1" applyFont="1" applyFill="1" applyAlignment="1">
      <alignment vertical="center"/>
    </xf>
    <xf numFmtId="1" fontId="4" fillId="2" borderId="0" xfId="2" applyNumberFormat="1" applyFont="1" applyFill="1" applyBorder="1" applyAlignment="1">
      <alignment vertical="center"/>
    </xf>
    <xf numFmtId="1" fontId="10" fillId="28" borderId="0" xfId="0" applyNumberFormat="1" applyFont="1" applyFill="1" applyAlignment="1">
      <alignment horizontal="right" vertical="center"/>
    </xf>
    <xf numFmtId="3" fontId="41" fillId="2" borderId="0" xfId="0" applyNumberFormat="1" applyFont="1" applyFill="1" applyAlignment="1">
      <alignment vertical="center"/>
    </xf>
    <xf numFmtId="0" fontId="41" fillId="2" borderId="0" xfId="0" applyFont="1" applyFill="1" applyAlignment="1">
      <alignment vertical="center"/>
    </xf>
    <xf numFmtId="3" fontId="44" fillId="2" borderId="0" xfId="0" applyNumberFormat="1" applyFont="1" applyFill="1" applyAlignment="1">
      <alignment vertical="center"/>
    </xf>
    <xf numFmtId="0" fontId="44" fillId="2" borderId="0" xfId="0" applyFont="1" applyFill="1" applyAlignment="1">
      <alignment vertical="center"/>
    </xf>
    <xf numFmtId="3" fontId="45" fillId="2" borderId="0" xfId="0" applyNumberFormat="1" applyFont="1" applyFill="1" applyAlignment="1">
      <alignment vertical="center"/>
    </xf>
    <xf numFmtId="0" fontId="45" fillId="2" borderId="0" xfId="0" applyFont="1" applyFill="1" applyAlignment="1">
      <alignment vertical="center"/>
    </xf>
    <xf numFmtId="0" fontId="5" fillId="2" borderId="0" xfId="0" applyFont="1" applyFill="1" applyAlignment="1">
      <alignment vertical="center"/>
    </xf>
    <xf numFmtId="0" fontId="10" fillId="32" borderId="0" xfId="0" applyFont="1" applyFill="1" applyAlignment="1">
      <alignment vertical="center"/>
    </xf>
    <xf numFmtId="0" fontId="11" fillId="6" borderId="31" xfId="0" applyFont="1" applyFill="1" applyBorder="1" applyAlignment="1">
      <alignment vertical="center" wrapText="1"/>
    </xf>
    <xf numFmtId="3" fontId="11" fillId="6" borderId="31" xfId="0" applyNumberFormat="1" applyFont="1" applyFill="1" applyBorder="1" applyAlignment="1">
      <alignment vertical="center"/>
    </xf>
    <xf numFmtId="3" fontId="21" fillId="8" borderId="0" xfId="0" applyNumberFormat="1" applyFont="1" applyFill="1" applyAlignment="1">
      <alignment vertical="center"/>
    </xf>
    <xf numFmtId="3" fontId="5" fillId="8" borderId="0" xfId="0" applyNumberFormat="1" applyFont="1" applyFill="1" applyAlignment="1">
      <alignment vertical="center"/>
    </xf>
    <xf numFmtId="3" fontId="4" fillId="2" borderId="38" xfId="0" applyNumberFormat="1" applyFont="1" applyFill="1" applyBorder="1" applyAlignment="1">
      <alignment vertical="center"/>
    </xf>
    <xf numFmtId="3" fontId="4" fillId="8" borderId="38" xfId="0" applyNumberFormat="1" applyFont="1" applyFill="1" applyBorder="1" applyAlignment="1">
      <alignment vertical="center"/>
    </xf>
    <xf numFmtId="3" fontId="5" fillId="8" borderId="38" xfId="0" applyNumberFormat="1" applyFont="1" applyFill="1" applyBorder="1" applyAlignment="1">
      <alignment vertical="center"/>
    </xf>
    <xf numFmtId="3" fontId="21" fillId="6" borderId="31" xfId="0" applyNumberFormat="1" applyFont="1" applyFill="1" applyBorder="1" applyAlignment="1">
      <alignment vertical="center"/>
    </xf>
    <xf numFmtId="3" fontId="21" fillId="2" borderId="0" xfId="0" applyNumberFormat="1" applyFont="1" applyFill="1" applyAlignment="1">
      <alignment vertical="center"/>
    </xf>
    <xf numFmtId="3" fontId="11" fillId="2" borderId="38" xfId="0" applyNumberFormat="1" applyFont="1" applyFill="1" applyBorder="1" applyAlignment="1">
      <alignment vertical="center"/>
    </xf>
    <xf numFmtId="0" fontId="11" fillId="2" borderId="0" xfId="0" applyFont="1" applyFill="1" applyAlignment="1">
      <alignment horizontal="center" vertical="center" wrapText="1"/>
    </xf>
    <xf numFmtId="0" fontId="11" fillId="2" borderId="30" xfId="0" applyFont="1" applyFill="1" applyBorder="1" applyAlignment="1">
      <alignment vertical="center" wrapText="1"/>
    </xf>
    <xf numFmtId="3" fontId="11" fillId="2" borderId="31" xfId="0" applyNumberFormat="1" applyFont="1" applyFill="1" applyBorder="1" applyAlignment="1">
      <alignment vertical="center"/>
    </xf>
    <xf numFmtId="3" fontId="21" fillId="2" borderId="31" xfId="0" applyNumberFormat="1" applyFont="1" applyFill="1" applyBorder="1" applyAlignment="1">
      <alignment vertical="center"/>
    </xf>
    <xf numFmtId="0" fontId="11" fillId="2" borderId="34" xfId="0" applyFont="1" applyFill="1" applyBorder="1" applyAlignment="1">
      <alignment vertical="center"/>
    </xf>
    <xf numFmtId="0" fontId="4" fillId="2" borderId="34" xfId="0" applyFont="1" applyFill="1" applyBorder="1" applyAlignment="1">
      <alignment vertical="center"/>
    </xf>
    <xf numFmtId="0" fontId="11" fillId="39" borderId="37" xfId="0" applyFont="1" applyFill="1" applyBorder="1" applyAlignment="1">
      <alignment vertical="center"/>
    </xf>
    <xf numFmtId="3" fontId="11" fillId="39" borderId="38" xfId="0" applyNumberFormat="1" applyFont="1" applyFill="1" applyBorder="1" applyAlignment="1">
      <alignment vertical="center"/>
    </xf>
    <xf numFmtId="0" fontId="4" fillId="2" borderId="30" xfId="0" applyFont="1" applyFill="1" applyBorder="1" applyAlignment="1">
      <alignment vertical="center"/>
    </xf>
    <xf numFmtId="3" fontId="4" fillId="2" borderId="31" xfId="0" applyNumberFormat="1" applyFont="1" applyFill="1" applyBorder="1" applyAlignment="1">
      <alignment vertical="center"/>
    </xf>
    <xf numFmtId="0" fontId="11" fillId="2" borderId="30" xfId="0" applyFont="1" applyFill="1" applyBorder="1" applyAlignment="1">
      <alignment vertical="center"/>
    </xf>
    <xf numFmtId="3" fontId="15" fillId="2" borderId="0" xfId="0" applyNumberFormat="1" applyFont="1" applyFill="1" applyAlignment="1">
      <alignment vertical="center"/>
    </xf>
    <xf numFmtId="0" fontId="11" fillId="2" borderId="31" xfId="0" applyFont="1" applyFill="1" applyBorder="1" applyAlignment="1">
      <alignment vertical="center"/>
    </xf>
    <xf numFmtId="0" fontId="10" fillId="34" borderId="38" xfId="0" applyFont="1" applyFill="1" applyBorder="1" applyAlignment="1">
      <alignment vertical="center"/>
    </xf>
    <xf numFmtId="3" fontId="10" fillId="34" borderId="38" xfId="0" applyNumberFormat="1" applyFont="1" applyFill="1" applyBorder="1" applyAlignment="1">
      <alignment vertical="center"/>
    </xf>
    <xf numFmtId="0" fontId="4" fillId="2" borderId="31" xfId="0" applyFont="1" applyFill="1" applyBorder="1" applyAlignment="1">
      <alignment vertical="center"/>
    </xf>
    <xf numFmtId="177" fontId="4" fillId="2" borderId="0" xfId="0" applyNumberFormat="1" applyFont="1" applyFill="1" applyAlignment="1">
      <alignment vertical="center"/>
    </xf>
    <xf numFmtId="0" fontId="10" fillId="34" borderId="0" xfId="0" applyFont="1" applyFill="1" applyAlignment="1">
      <alignment vertical="center"/>
    </xf>
    <xf numFmtId="3" fontId="10" fillId="34" borderId="0" xfId="0" applyNumberFormat="1" applyFont="1" applyFill="1" applyAlignment="1">
      <alignment vertical="center"/>
    </xf>
    <xf numFmtId="0" fontId="11" fillId="2" borderId="38" xfId="0" applyFont="1" applyFill="1" applyBorder="1" applyAlignment="1">
      <alignment vertical="center"/>
    </xf>
    <xf numFmtId="0" fontId="3" fillId="2" borderId="0" xfId="0" applyFont="1" applyFill="1"/>
    <xf numFmtId="174" fontId="10" fillId="32" borderId="28" xfId="0" applyNumberFormat="1" applyFont="1" applyFill="1" applyBorder="1"/>
    <xf numFmtId="167" fontId="4" fillId="2" borderId="0" xfId="0" applyNumberFormat="1" applyFont="1" applyFill="1"/>
    <xf numFmtId="175" fontId="4" fillId="2" borderId="0" xfId="0" applyNumberFormat="1" applyFont="1" applyFill="1"/>
    <xf numFmtId="0" fontId="49" fillId="2" borderId="0" xfId="0" applyFont="1" applyFill="1"/>
    <xf numFmtId="173" fontId="4" fillId="2" borderId="0" xfId="0" applyNumberFormat="1" applyFont="1" applyFill="1"/>
    <xf numFmtId="0" fontId="10" fillId="32" borderId="26" xfId="0" applyFont="1" applyFill="1" applyBorder="1"/>
    <xf numFmtId="0" fontId="11" fillId="39" borderId="33" xfId="0" applyFont="1" applyFill="1" applyBorder="1"/>
    <xf numFmtId="3" fontId="40" fillId="39" borderId="0" xfId="0" applyNumberFormat="1" applyFont="1" applyFill="1"/>
    <xf numFmtId="3" fontId="11" fillId="39" borderId="0" xfId="0" applyNumberFormat="1" applyFont="1" applyFill="1"/>
    <xf numFmtId="3" fontId="11" fillId="2" borderId="0" xfId="0" applyNumberFormat="1" applyFont="1" applyFill="1"/>
    <xf numFmtId="0" fontId="4" fillId="6" borderId="33" xfId="0" applyFont="1" applyFill="1" applyBorder="1" applyAlignment="1">
      <alignment horizontal="left" indent="1"/>
    </xf>
    <xf numFmtId="3" fontId="38" fillId="6" borderId="0" xfId="0" applyNumberFormat="1" applyFont="1" applyFill="1"/>
    <xf numFmtId="3" fontId="4" fillId="6" borderId="0" xfId="0" applyNumberFormat="1" applyFont="1" applyFill="1"/>
    <xf numFmtId="0" fontId="4" fillId="2" borderId="33" xfId="0" applyFont="1" applyFill="1" applyBorder="1" applyAlignment="1">
      <alignment horizontal="left" indent="1"/>
    </xf>
    <xf numFmtId="3" fontId="38" fillId="2" borderId="0" xfId="0" applyNumberFormat="1" applyFont="1" applyFill="1"/>
    <xf numFmtId="0" fontId="7" fillId="2" borderId="33" xfId="0" applyFont="1" applyFill="1" applyBorder="1" applyAlignment="1">
      <alignment horizontal="left" indent="3"/>
    </xf>
    <xf numFmtId="3" fontId="50" fillId="2" borderId="0" xfId="0" applyNumberFormat="1" applyFont="1" applyFill="1"/>
    <xf numFmtId="3" fontId="38" fillId="8" borderId="0" xfId="0" applyNumberFormat="1" applyFont="1" applyFill="1"/>
    <xf numFmtId="0" fontId="7" fillId="2" borderId="33" xfId="0" applyFont="1" applyFill="1" applyBorder="1" applyAlignment="1">
      <alignment horizontal="left" indent="1"/>
    </xf>
    <xf numFmtId="0" fontId="4" fillId="2" borderId="36" xfId="0" applyFont="1" applyFill="1" applyBorder="1" applyAlignment="1">
      <alignment horizontal="left" indent="1"/>
    </xf>
    <xf numFmtId="3" fontId="38" fillId="2" borderId="38" xfId="0" applyNumberFormat="1" applyFont="1" applyFill="1" applyBorder="1"/>
    <xf numFmtId="175" fontId="11" fillId="2" borderId="0" xfId="0" applyNumberFormat="1" applyFont="1" applyFill="1"/>
    <xf numFmtId="9" fontId="11" fillId="2" borderId="0" xfId="2" applyFont="1" applyFill="1"/>
    <xf numFmtId="173" fontId="11" fillId="2" borderId="0" xfId="2" applyNumberFormat="1" applyFont="1" applyFill="1"/>
    <xf numFmtId="164" fontId="11" fillId="2" borderId="0" xfId="2" applyNumberFormat="1" applyFont="1" applyFill="1"/>
    <xf numFmtId="174" fontId="10" fillId="32" borderId="52" xfId="0" applyNumberFormat="1" applyFont="1" applyFill="1" applyBorder="1"/>
    <xf numFmtId="0" fontId="11" fillId="2" borderId="33" xfId="0" applyFont="1" applyFill="1" applyBorder="1"/>
    <xf numFmtId="3" fontId="40" fillId="8" borderId="0" xfId="0" applyNumberFormat="1" applyFont="1" applyFill="1"/>
    <xf numFmtId="3" fontId="40" fillId="8" borderId="31" xfId="0" applyNumberFormat="1" applyFont="1" applyFill="1" applyBorder="1"/>
    <xf numFmtId="3" fontId="40" fillId="2" borderId="31" xfId="0" applyNumberFormat="1" applyFont="1" applyFill="1" applyBorder="1"/>
    <xf numFmtId="3" fontId="40" fillId="2" borderId="53" xfId="0" applyNumberFormat="1" applyFont="1" applyFill="1" applyBorder="1"/>
    <xf numFmtId="3" fontId="38" fillId="2" borderId="54" xfId="0" applyNumberFormat="1" applyFont="1" applyFill="1" applyBorder="1"/>
    <xf numFmtId="3" fontId="50" fillId="8" borderId="0" xfId="0" applyNumberFormat="1" applyFont="1" applyFill="1"/>
    <xf numFmtId="3" fontId="50" fillId="2" borderId="54" xfId="0" applyNumberFormat="1" applyFont="1" applyFill="1" applyBorder="1"/>
    <xf numFmtId="0" fontId="11" fillId="2" borderId="36" xfId="0" applyFont="1" applyFill="1" applyBorder="1"/>
    <xf numFmtId="3" fontId="40" fillId="2" borderId="38" xfId="0" applyNumberFormat="1" applyFont="1" applyFill="1" applyBorder="1"/>
    <xf numFmtId="3" fontId="40" fillId="2" borderId="55" xfId="0" applyNumberFormat="1" applyFont="1" applyFill="1" applyBorder="1"/>
    <xf numFmtId="3" fontId="11" fillId="2" borderId="38" xfId="0" applyNumberFormat="1" applyFont="1" applyFill="1" applyBorder="1"/>
    <xf numFmtId="0" fontId="4" fillId="2" borderId="49" xfId="0" applyFont="1" applyFill="1" applyBorder="1" applyAlignment="1">
      <alignment horizontal="left" indent="1"/>
    </xf>
    <xf numFmtId="3" fontId="38" fillId="8" borderId="31" xfId="0" applyNumberFormat="1" applyFont="1" applyFill="1" applyBorder="1"/>
    <xf numFmtId="3" fontId="38" fillId="2" borderId="31" xfId="0" applyNumberFormat="1" applyFont="1" applyFill="1" applyBorder="1"/>
    <xf numFmtId="3" fontId="4" fillId="2" borderId="31" xfId="0" applyNumberFormat="1" applyFont="1" applyFill="1" applyBorder="1"/>
    <xf numFmtId="3" fontId="40" fillId="2" borderId="0" xfId="0" applyNumberFormat="1" applyFont="1" applyFill="1"/>
    <xf numFmtId="3" fontId="40" fillId="2" borderId="54" xfId="0" applyNumberFormat="1" applyFont="1" applyFill="1" applyBorder="1"/>
    <xf numFmtId="164" fontId="11" fillId="2" borderId="0" xfId="0" applyNumberFormat="1" applyFont="1" applyFill="1"/>
    <xf numFmtId="3" fontId="21" fillId="8" borderId="0" xfId="0" applyNumberFormat="1" applyFont="1" applyFill="1"/>
    <xf numFmtId="3" fontId="11" fillId="2" borderId="55" xfId="0" applyNumberFormat="1" applyFont="1" applyFill="1" applyBorder="1"/>
    <xf numFmtId="3" fontId="21" fillId="8" borderId="38" xfId="0" applyNumberFormat="1" applyFont="1" applyFill="1" applyBorder="1"/>
    <xf numFmtId="178" fontId="4" fillId="2" borderId="0" xfId="0" applyNumberFormat="1" applyFont="1" applyFill="1"/>
    <xf numFmtId="179" fontId="4" fillId="2" borderId="0" xfId="0" applyNumberFormat="1" applyFont="1" applyFill="1"/>
    <xf numFmtId="180" fontId="4" fillId="2" borderId="0" xfId="0" applyNumberFormat="1" applyFont="1" applyFill="1"/>
    <xf numFmtId="0" fontId="10" fillId="32" borderId="0" xfId="0" applyFont="1" applyFill="1"/>
    <xf numFmtId="174" fontId="10" fillId="32" borderId="0" xfId="0" applyNumberFormat="1" applyFont="1" applyFill="1"/>
    <xf numFmtId="174" fontId="10" fillId="32" borderId="54" xfId="0" applyNumberFormat="1" applyFont="1" applyFill="1" applyBorder="1"/>
    <xf numFmtId="4" fontId="11" fillId="2" borderId="0" xfId="0" applyNumberFormat="1" applyFont="1" applyFill="1"/>
    <xf numFmtId="0" fontId="11" fillId="39" borderId="43" xfId="0" applyFont="1" applyFill="1" applyBorder="1"/>
    <xf numFmtId="164" fontId="40" fillId="39" borderId="51" xfId="0" applyNumberFormat="1" applyFont="1" applyFill="1" applyBorder="1"/>
    <xf numFmtId="164" fontId="40" fillId="39" borderId="56" xfId="0" applyNumberFormat="1" applyFont="1" applyFill="1" applyBorder="1"/>
    <xf numFmtId="164" fontId="11" fillId="39" borderId="51" xfId="0" applyNumberFormat="1" applyFont="1" applyFill="1" applyBorder="1"/>
    <xf numFmtId="0" fontId="4" fillId="6" borderId="45" xfId="0" applyFont="1" applyFill="1" applyBorder="1" applyAlignment="1">
      <alignment horizontal="left" indent="1"/>
    </xf>
    <xf numFmtId="164" fontId="38" fillId="6" borderId="0" xfId="0" applyNumberFormat="1" applyFont="1" applyFill="1"/>
    <xf numFmtId="164" fontId="38" fillId="6" borderId="54" xfId="0" applyNumberFormat="1" applyFont="1" applyFill="1" applyBorder="1"/>
    <xf numFmtId="164" fontId="4" fillId="6" borderId="0" xfId="0" applyNumberFormat="1" applyFont="1" applyFill="1"/>
    <xf numFmtId="0" fontId="4" fillId="2" borderId="45" xfId="0" applyFont="1" applyFill="1" applyBorder="1" applyAlignment="1">
      <alignment horizontal="left" indent="1"/>
    </xf>
    <xf numFmtId="164" fontId="38" fillId="2" borderId="0" xfId="0" applyNumberFormat="1" applyFont="1" applyFill="1"/>
    <xf numFmtId="164" fontId="38" fillId="2" borderId="54" xfId="0" applyNumberFormat="1" applyFont="1" applyFill="1" applyBorder="1"/>
    <xf numFmtId="0" fontId="7" fillId="2" borderId="45" xfId="0" applyFont="1" applyFill="1" applyBorder="1" applyAlignment="1">
      <alignment horizontal="left" indent="3"/>
    </xf>
    <xf numFmtId="164" fontId="50" fillId="2" borderId="0" xfId="0" applyNumberFormat="1" applyFont="1" applyFill="1"/>
    <xf numFmtId="164" fontId="50" fillId="2" borderId="54" xfId="0" applyNumberFormat="1" applyFont="1" applyFill="1" applyBorder="1"/>
    <xf numFmtId="164" fontId="7" fillId="2" borderId="0" xfId="0" applyNumberFormat="1" applyFont="1" applyFill="1"/>
    <xf numFmtId="0" fontId="11" fillId="39" borderId="45" xfId="0" applyFont="1" applyFill="1" applyBorder="1"/>
    <xf numFmtId="164" fontId="40" fillId="39" borderId="0" xfId="0" applyNumberFormat="1" applyFont="1" applyFill="1"/>
    <xf numFmtId="164" fontId="40" fillId="39" borderId="54" xfId="0" applyNumberFormat="1" applyFont="1" applyFill="1" applyBorder="1"/>
    <xf numFmtId="164" fontId="11" fillId="39" borderId="0" xfId="0" applyNumberFormat="1" applyFont="1" applyFill="1"/>
    <xf numFmtId="164" fontId="38" fillId="8" borderId="0" xfId="0" applyNumberFormat="1" applyFont="1" applyFill="1"/>
    <xf numFmtId="164" fontId="38" fillId="8" borderId="54" xfId="0" applyNumberFormat="1" applyFont="1" applyFill="1" applyBorder="1"/>
    <xf numFmtId="0" fontId="7" fillId="2" borderId="45" xfId="0" applyFont="1" applyFill="1" applyBorder="1" applyAlignment="1">
      <alignment horizontal="left" indent="1"/>
    </xf>
    <xf numFmtId="0" fontId="4" fillId="2" borderId="46" xfId="0" applyFont="1" applyFill="1" applyBorder="1" applyAlignment="1">
      <alignment horizontal="left" indent="1"/>
    </xf>
    <xf numFmtId="164" fontId="38" fillId="2" borderId="48" xfId="0" applyNumberFormat="1" applyFont="1" applyFill="1" applyBorder="1"/>
    <xf numFmtId="164" fontId="38" fillId="2" borderId="57" xfId="0" applyNumberFormat="1" applyFont="1" applyFill="1" applyBorder="1"/>
    <xf numFmtId="164" fontId="4" fillId="2" borderId="48" xfId="0" applyNumberFormat="1" applyFont="1" applyFill="1" applyBorder="1"/>
    <xf numFmtId="4" fontId="4" fillId="2" borderId="48" xfId="0" applyNumberFormat="1" applyFont="1" applyFill="1" applyBorder="1"/>
    <xf numFmtId="9" fontId="4" fillId="2" borderId="0" xfId="0" applyNumberFormat="1" applyFont="1" applyFill="1"/>
    <xf numFmtId="181" fontId="4" fillId="2" borderId="0" xfId="0" applyNumberFormat="1" applyFont="1" applyFill="1"/>
    <xf numFmtId="0" fontId="11" fillId="2" borderId="45" xfId="0" applyFont="1" applyFill="1" applyBorder="1"/>
    <xf numFmtId="4" fontId="40" fillId="2" borderId="0" xfId="0" applyNumberFormat="1" applyFont="1" applyFill="1"/>
    <xf numFmtId="164" fontId="40" fillId="2" borderId="0" xfId="0" applyNumberFormat="1" applyFont="1" applyFill="1"/>
    <xf numFmtId="164" fontId="40" fillId="2" borderId="54" xfId="0" applyNumberFormat="1" applyFont="1" applyFill="1" applyBorder="1"/>
    <xf numFmtId="4" fontId="38" fillId="2" borderId="0" xfId="0" applyNumberFormat="1" applyFont="1" applyFill="1"/>
    <xf numFmtId="4" fontId="50" fillId="2" borderId="0" xfId="0" applyNumberFormat="1" applyFont="1" applyFill="1"/>
    <xf numFmtId="0" fontId="11" fillId="2" borderId="46" xfId="0" applyFont="1" applyFill="1" applyBorder="1"/>
    <xf numFmtId="4" fontId="40" fillId="2" borderId="48" xfId="0" applyNumberFormat="1" applyFont="1" applyFill="1" applyBorder="1"/>
    <xf numFmtId="164" fontId="40" fillId="2" borderId="48" xfId="0" applyNumberFormat="1" applyFont="1" applyFill="1" applyBorder="1"/>
    <xf numFmtId="164" fontId="40" fillId="2" borderId="57" xfId="0" applyNumberFormat="1" applyFont="1" applyFill="1" applyBorder="1"/>
    <xf numFmtId="164" fontId="11" fillId="2" borderId="48" xfId="0" applyNumberFormat="1" applyFont="1" applyFill="1" applyBorder="1"/>
    <xf numFmtId="0" fontId="4" fillId="2" borderId="49" xfId="0" applyFont="1" applyFill="1" applyBorder="1"/>
    <xf numFmtId="165" fontId="38" fillId="8" borderId="31" xfId="0" applyNumberFormat="1" applyFont="1" applyFill="1" applyBorder="1"/>
    <xf numFmtId="165" fontId="38" fillId="2" borderId="31" xfId="0" applyNumberFormat="1" applyFont="1" applyFill="1" applyBorder="1"/>
    <xf numFmtId="165" fontId="38" fillId="2" borderId="53" xfId="0" applyNumberFormat="1" applyFont="1" applyFill="1" applyBorder="1"/>
    <xf numFmtId="164" fontId="4" fillId="2" borderId="31" xfId="0" applyNumberFormat="1" applyFont="1" applyFill="1" applyBorder="1"/>
    <xf numFmtId="165" fontId="38" fillId="8" borderId="0" xfId="0" applyNumberFormat="1" applyFont="1" applyFill="1"/>
    <xf numFmtId="165" fontId="38" fillId="2" borderId="0" xfId="0" applyNumberFormat="1" applyFont="1" applyFill="1"/>
    <xf numFmtId="165" fontId="38" fillId="2" borderId="54" xfId="0" applyNumberFormat="1" applyFont="1" applyFill="1" applyBorder="1"/>
    <xf numFmtId="165" fontId="40" fillId="8" borderId="0" xfId="0" applyNumberFormat="1" applyFont="1" applyFill="1"/>
    <xf numFmtId="165" fontId="40" fillId="2" borderId="0" xfId="0" applyNumberFormat="1" applyFont="1" applyFill="1"/>
    <xf numFmtId="165" fontId="40" fillId="2" borderId="54" xfId="0" applyNumberFormat="1" applyFont="1" applyFill="1" applyBorder="1"/>
    <xf numFmtId="165" fontId="11" fillId="2" borderId="38" xfId="0" applyNumberFormat="1" applyFont="1" applyFill="1" applyBorder="1"/>
    <xf numFmtId="165" fontId="11" fillId="2" borderId="55" xfId="0" applyNumberFormat="1" applyFont="1" applyFill="1" applyBorder="1"/>
    <xf numFmtId="164" fontId="11" fillId="2" borderId="38" xfId="0" applyNumberFormat="1" applyFont="1" applyFill="1" applyBorder="1"/>
    <xf numFmtId="0" fontId="4" fillId="2" borderId="38" xfId="0" applyFont="1" applyFill="1" applyBorder="1"/>
    <xf numFmtId="0" fontId="4" fillId="2" borderId="33" xfId="0" applyFont="1" applyFill="1" applyBorder="1" applyAlignment="1">
      <alignment horizontal="left" vertical="center"/>
    </xf>
    <xf numFmtId="3" fontId="4" fillId="2" borderId="35" xfId="0" applyNumberFormat="1" applyFont="1" applyFill="1" applyBorder="1"/>
    <xf numFmtId="0" fontId="4" fillId="8" borderId="33" xfId="0" applyFont="1" applyFill="1" applyBorder="1" applyAlignment="1">
      <alignment horizontal="left" vertical="center"/>
    </xf>
    <xf numFmtId="3" fontId="38" fillId="8" borderId="54" xfId="0" applyNumberFormat="1" applyFont="1" applyFill="1" applyBorder="1"/>
    <xf numFmtId="3" fontId="4" fillId="8" borderId="35" xfId="0" applyNumberFormat="1" applyFont="1" applyFill="1" applyBorder="1"/>
    <xf numFmtId="0" fontId="4" fillId="3" borderId="33" xfId="0" applyFont="1" applyFill="1" applyBorder="1" applyAlignment="1">
      <alignment horizontal="left" vertical="center"/>
    </xf>
    <xf numFmtId="0" fontId="4" fillId="2" borderId="36" xfId="0" applyFont="1" applyFill="1" applyBorder="1" applyAlignment="1">
      <alignment horizontal="left" vertical="center"/>
    </xf>
    <xf numFmtId="165" fontId="38" fillId="2" borderId="38" xfId="0" applyNumberFormat="1" applyFont="1" applyFill="1" applyBorder="1"/>
    <xf numFmtId="165" fontId="38" fillId="2" borderId="55" xfId="0" applyNumberFormat="1" applyFont="1" applyFill="1" applyBorder="1"/>
    <xf numFmtId="165" fontId="4" fillId="2" borderId="38" xfId="0" applyNumberFormat="1" applyFont="1" applyFill="1" applyBorder="1"/>
    <xf numFmtId="165" fontId="4" fillId="2" borderId="39" xfId="0" applyNumberFormat="1" applyFont="1" applyFill="1" applyBorder="1"/>
    <xf numFmtId="0" fontId="37" fillId="8" borderId="0" xfId="0" applyFont="1" applyFill="1" applyAlignment="1">
      <alignment vertical="center" wrapText="1"/>
    </xf>
    <xf numFmtId="182" fontId="4" fillId="2" borderId="0" xfId="2" applyNumberFormat="1" applyFont="1" applyFill="1"/>
    <xf numFmtId="0" fontId="7" fillId="8" borderId="33" xfId="0" applyFont="1" applyFill="1" applyBorder="1" applyAlignment="1">
      <alignment horizontal="left" vertical="center"/>
    </xf>
    <xf numFmtId="165" fontId="38" fillId="2" borderId="0" xfId="2" applyNumberFormat="1" applyFont="1" applyFill="1" applyBorder="1"/>
    <xf numFmtId="165" fontId="4" fillId="2" borderId="35" xfId="0" applyNumberFormat="1" applyFont="1" applyFill="1" applyBorder="1"/>
    <xf numFmtId="0" fontId="4" fillId="8" borderId="33" xfId="0" applyFont="1" applyFill="1" applyBorder="1" applyAlignment="1">
      <alignment horizontal="left" vertical="center" indent="1"/>
    </xf>
    <xf numFmtId="165" fontId="4" fillId="2" borderId="0" xfId="2" applyNumberFormat="1" applyFont="1" applyFill="1" applyBorder="1"/>
    <xf numFmtId="165" fontId="4" fillId="2" borderId="35" xfId="2" applyNumberFormat="1" applyFont="1" applyFill="1" applyBorder="1"/>
    <xf numFmtId="173" fontId="38" fillId="2" borderId="0" xfId="2" applyNumberFormat="1" applyFont="1" applyFill="1" applyBorder="1"/>
    <xf numFmtId="0" fontId="4" fillId="8" borderId="36" xfId="0" applyFont="1" applyFill="1" applyBorder="1" applyAlignment="1">
      <alignment horizontal="left" vertical="center" indent="1"/>
    </xf>
    <xf numFmtId="173" fontId="38" fillId="2" borderId="38" xfId="2" applyNumberFormat="1" applyFont="1" applyFill="1" applyBorder="1"/>
    <xf numFmtId="165" fontId="38" fillId="2" borderId="38" xfId="2" applyNumberFormat="1" applyFont="1" applyFill="1" applyBorder="1"/>
    <xf numFmtId="165" fontId="4" fillId="2" borderId="38" xfId="2" applyNumberFormat="1" applyFont="1" applyFill="1" applyBorder="1"/>
    <xf numFmtId="165" fontId="4" fillId="2" borderId="39" xfId="2" applyNumberFormat="1" applyFont="1" applyFill="1" applyBorder="1"/>
    <xf numFmtId="0" fontId="4" fillId="8" borderId="0" xfId="0" applyFont="1" applyFill="1" applyAlignment="1">
      <alignment horizontal="left" vertical="center" indent="1"/>
    </xf>
    <xf numFmtId="0" fontId="4" fillId="8" borderId="0" xfId="0" applyFont="1" applyFill="1" applyAlignment="1">
      <alignment vertical="center" wrapText="1"/>
    </xf>
    <xf numFmtId="0" fontId="4" fillId="2" borderId="0" xfId="0" applyFont="1" applyFill="1" applyAlignment="1">
      <alignment vertical="center" wrapText="1"/>
    </xf>
    <xf numFmtId="4" fontId="4" fillId="2" borderId="38" xfId="0" applyNumberFormat="1" applyFont="1" applyFill="1" applyBorder="1"/>
    <xf numFmtId="0" fontId="4" fillId="2" borderId="58" xfId="0" applyFont="1" applyFill="1" applyBorder="1" applyAlignment="1">
      <alignment horizontal="left" vertical="center"/>
    </xf>
    <xf numFmtId="164" fontId="38" fillId="2" borderId="31" xfId="0" applyNumberFormat="1" applyFont="1" applyFill="1" applyBorder="1"/>
    <xf numFmtId="164" fontId="38" fillId="2" borderId="53" xfId="0" applyNumberFormat="1" applyFont="1" applyFill="1" applyBorder="1"/>
    <xf numFmtId="164" fontId="4" fillId="3" borderId="31" xfId="0" applyNumberFormat="1" applyFont="1" applyFill="1" applyBorder="1"/>
    <xf numFmtId="164" fontId="4" fillId="3" borderId="32" xfId="0" applyNumberFormat="1" applyFont="1" applyFill="1" applyBorder="1"/>
    <xf numFmtId="0" fontId="4" fillId="2" borderId="59" xfId="0" applyFont="1" applyFill="1" applyBorder="1" applyAlignment="1">
      <alignment horizontal="left" vertical="center"/>
    </xf>
    <xf numFmtId="164" fontId="38" fillId="2" borderId="38" xfId="0" applyNumberFormat="1" applyFont="1" applyFill="1" applyBorder="1"/>
    <xf numFmtId="164" fontId="38" fillId="2" borderId="55" xfId="0" applyNumberFormat="1" applyFont="1" applyFill="1" applyBorder="1"/>
    <xf numFmtId="164" fontId="4" fillId="3" borderId="38" xfId="0" applyNumberFormat="1" applyFont="1" applyFill="1" applyBorder="1"/>
    <xf numFmtId="164" fontId="4" fillId="3" borderId="39" xfId="0" applyNumberFormat="1" applyFont="1" applyFill="1" applyBorder="1"/>
    <xf numFmtId="0" fontId="33" fillId="8" borderId="0" xfId="0" applyFont="1" applyFill="1"/>
    <xf numFmtId="10" fontId="4" fillId="2" borderId="0" xfId="2" applyNumberFormat="1" applyFont="1" applyFill="1" applyAlignment="1">
      <alignment horizontal="right"/>
    </xf>
    <xf numFmtId="3" fontId="4" fillId="2" borderId="0" xfId="2" applyNumberFormat="1" applyFont="1" applyFill="1"/>
    <xf numFmtId="0" fontId="11" fillId="2" borderId="0" xfId="0" applyFont="1" applyFill="1" applyAlignment="1">
      <alignment horizontal="right"/>
    </xf>
    <xf numFmtId="173" fontId="4" fillId="2" borderId="0" xfId="2" applyNumberFormat="1" applyFont="1" applyFill="1" applyAlignment="1">
      <alignment horizontal="right"/>
    </xf>
    <xf numFmtId="0" fontId="10" fillId="32" borderId="28" xfId="0" applyFont="1" applyFill="1" applyBorder="1"/>
    <xf numFmtId="0" fontId="10" fillId="32" borderId="29" xfId="0" applyFont="1" applyFill="1" applyBorder="1"/>
    <xf numFmtId="0" fontId="27" fillId="8" borderId="49" xfId="0" applyFont="1" applyFill="1" applyBorder="1"/>
    <xf numFmtId="165" fontId="27" fillId="2" borderId="31" xfId="0" applyNumberFormat="1" applyFont="1" applyFill="1" applyBorder="1"/>
    <xf numFmtId="165" fontId="27" fillId="2" borderId="32" xfId="0" applyNumberFormat="1" applyFont="1" applyFill="1" applyBorder="1"/>
    <xf numFmtId="0" fontId="4" fillId="2" borderId="36" xfId="0" applyFont="1" applyFill="1" applyBorder="1"/>
    <xf numFmtId="165" fontId="38" fillId="8" borderId="38" xfId="0" applyNumberFormat="1" applyFont="1" applyFill="1" applyBorder="1"/>
    <xf numFmtId="0" fontId="27" fillId="8" borderId="26" xfId="0" applyFont="1" applyFill="1" applyBorder="1"/>
    <xf numFmtId="165" fontId="27" fillId="2" borderId="28" xfId="0" applyNumberFormat="1" applyFont="1" applyFill="1" applyBorder="1"/>
    <xf numFmtId="165" fontId="27" fillId="2" borderId="29" xfId="0" applyNumberFormat="1" applyFont="1" applyFill="1" applyBorder="1"/>
    <xf numFmtId="0" fontId="33" fillId="2" borderId="0" xfId="0" applyFont="1" applyFill="1" applyAlignment="1">
      <alignment vertical="top"/>
    </xf>
    <xf numFmtId="0" fontId="33" fillId="2" borderId="0" xfId="0" applyFont="1" applyFill="1"/>
    <xf numFmtId="0" fontId="53" fillId="2" borderId="0" xfId="0" applyFont="1" applyFill="1" applyAlignment="1">
      <alignment horizontal="left" vertical="top" wrapText="1"/>
    </xf>
    <xf numFmtId="0" fontId="37" fillId="2" borderId="0" xfId="0" applyFont="1" applyFill="1" applyAlignment="1">
      <alignment vertical="top"/>
    </xf>
    <xf numFmtId="0" fontId="16" fillId="2" borderId="0" xfId="0" applyFont="1" applyFill="1" applyAlignment="1">
      <alignment vertical="top"/>
    </xf>
    <xf numFmtId="0" fontId="31" fillId="2" borderId="0" xfId="0" applyFont="1" applyFill="1" applyAlignment="1">
      <alignment vertical="top"/>
    </xf>
    <xf numFmtId="0" fontId="33" fillId="40" borderId="0" xfId="0" applyFont="1" applyFill="1" applyAlignment="1">
      <alignment horizontal="left" vertical="top" wrapText="1"/>
    </xf>
    <xf numFmtId="0" fontId="33" fillId="40" borderId="0" xfId="0" applyFont="1" applyFill="1" applyAlignment="1">
      <alignment vertical="top" wrapText="1"/>
    </xf>
    <xf numFmtId="0" fontId="55" fillId="2" borderId="0" xfId="3" applyFont="1" applyFill="1"/>
    <xf numFmtId="0" fontId="11" fillId="3" borderId="0" xfId="0" applyFont="1" applyFill="1"/>
    <xf numFmtId="0" fontId="57" fillId="3" borderId="0" xfId="3" applyFont="1" applyFill="1"/>
    <xf numFmtId="3" fontId="7" fillId="24" borderId="0" xfId="0" applyNumberFormat="1" applyFont="1" applyFill="1"/>
    <xf numFmtId="3" fontId="11" fillId="33" borderId="32" xfId="0" applyNumberFormat="1" applyFont="1" applyFill="1" applyBorder="1"/>
    <xf numFmtId="3" fontId="4" fillId="24" borderId="0" xfId="0" applyNumberFormat="1" applyFont="1" applyFill="1"/>
    <xf numFmtId="3" fontId="7" fillId="24" borderId="0" xfId="0" applyNumberFormat="1" applyFont="1" applyFill="1" applyAlignment="1">
      <alignment wrapText="1"/>
    </xf>
    <xf numFmtId="3" fontId="7" fillId="2" borderId="35" xfId="0" applyNumberFormat="1" applyFont="1" applyFill="1" applyBorder="1"/>
    <xf numFmtId="3" fontId="11" fillId="33" borderId="35" xfId="0" applyNumberFormat="1" applyFont="1" applyFill="1" applyBorder="1"/>
    <xf numFmtId="1" fontId="4" fillId="24" borderId="39" xfId="0" applyNumberFormat="1" applyFont="1" applyFill="1" applyBorder="1" applyAlignment="1">
      <alignment vertical="center"/>
    </xf>
    <xf numFmtId="3" fontId="7" fillId="12" borderId="35" xfId="0" applyNumberFormat="1" applyFont="1" applyFill="1" applyBorder="1"/>
    <xf numFmtId="3" fontId="4" fillId="2" borderId="39" xfId="0" applyNumberFormat="1" applyFont="1" applyFill="1" applyBorder="1"/>
    <xf numFmtId="3" fontId="40" fillId="39" borderId="54" xfId="0" applyNumberFormat="1" applyFont="1" applyFill="1" applyBorder="1"/>
    <xf numFmtId="3" fontId="38" fillId="6" borderId="54" xfId="0" applyNumberFormat="1" applyFont="1" applyFill="1" applyBorder="1"/>
    <xf numFmtId="3" fontId="38" fillId="2" borderId="55" xfId="0" applyNumberFormat="1" applyFont="1" applyFill="1" applyBorder="1"/>
    <xf numFmtId="165" fontId="38" fillId="2" borderId="54" xfId="2" applyNumberFormat="1" applyFont="1" applyFill="1" applyBorder="1"/>
    <xf numFmtId="165" fontId="38" fillId="2" borderId="55" xfId="2" applyNumberFormat="1" applyFont="1" applyFill="1" applyBorder="1"/>
    <xf numFmtId="0" fontId="8" fillId="8" borderId="0" xfId="0" applyFont="1" applyFill="1" applyAlignment="1">
      <alignment vertical="top" wrapText="1"/>
    </xf>
    <xf numFmtId="165" fontId="4" fillId="24" borderId="38" xfId="0" applyNumberFormat="1" applyFont="1" applyFill="1" applyBorder="1"/>
    <xf numFmtId="165" fontId="4" fillId="24" borderId="39" xfId="0" applyNumberFormat="1" applyFont="1" applyFill="1" applyBorder="1"/>
    <xf numFmtId="4" fontId="4" fillId="24" borderId="17" xfId="0" applyNumberFormat="1" applyFont="1" applyFill="1" applyBorder="1" applyAlignment="1">
      <alignment horizontal="right" vertical="center"/>
    </xf>
    <xf numFmtId="4" fontId="4" fillId="24" borderId="0" xfId="0" applyNumberFormat="1" applyFont="1" applyFill="1" applyAlignment="1">
      <alignment horizontal="right" vertical="center"/>
    </xf>
    <xf numFmtId="4" fontId="4" fillId="24" borderId="0" xfId="2" applyNumberFormat="1" applyFont="1" applyFill="1"/>
    <xf numFmtId="4" fontId="4" fillId="24" borderId="11" xfId="0" applyNumberFormat="1" applyFont="1" applyFill="1" applyBorder="1"/>
    <xf numFmtId="4" fontId="4" fillId="24" borderId="11" xfId="0" applyNumberFormat="1" applyFont="1" applyFill="1" applyBorder="1" applyAlignment="1">
      <alignment horizontal="right" vertical="center"/>
    </xf>
    <xf numFmtId="4" fontId="4" fillId="24" borderId="19" xfId="0" applyNumberFormat="1" applyFont="1" applyFill="1" applyBorder="1" applyAlignment="1">
      <alignment horizontal="right" vertical="center"/>
    </xf>
    <xf numFmtId="4" fontId="4" fillId="24" borderId="20" xfId="0" applyNumberFormat="1" applyFont="1" applyFill="1" applyBorder="1" applyAlignment="1">
      <alignment horizontal="right" vertical="center"/>
    </xf>
    <xf numFmtId="4" fontId="4" fillId="24" borderId="21" xfId="0" applyNumberFormat="1" applyFont="1" applyFill="1" applyBorder="1" applyAlignment="1">
      <alignment horizontal="right" vertical="center"/>
    </xf>
    <xf numFmtId="3" fontId="11" fillId="8" borderId="0" xfId="0" applyNumberFormat="1" applyFont="1" applyFill="1"/>
    <xf numFmtId="3" fontId="15" fillId="8" borderId="0" xfId="0" applyNumberFormat="1" applyFont="1" applyFill="1"/>
    <xf numFmtId="0" fontId="10" fillId="32" borderId="26" xfId="0" applyFont="1" applyFill="1" applyBorder="1" applyAlignment="1">
      <alignment vertical="center"/>
    </xf>
    <xf numFmtId="1" fontId="10" fillId="32" borderId="28" xfId="0" applyNumberFormat="1" applyFont="1" applyFill="1" applyBorder="1" applyAlignment="1">
      <alignment vertical="center"/>
    </xf>
    <xf numFmtId="1" fontId="10" fillId="32" borderId="52" xfId="0" applyNumberFormat="1" applyFont="1" applyFill="1" applyBorder="1" applyAlignment="1">
      <alignment vertical="center"/>
    </xf>
    <xf numFmtId="1" fontId="10" fillId="32" borderId="29" xfId="0" applyNumberFormat="1" applyFont="1" applyFill="1" applyBorder="1" applyAlignment="1">
      <alignment vertical="center"/>
    </xf>
    <xf numFmtId="0" fontId="10" fillId="32" borderId="27" xfId="0" applyFont="1" applyFill="1" applyBorder="1" applyAlignment="1">
      <alignment horizontal="left" vertical="center"/>
    </xf>
    <xf numFmtId="0" fontId="4" fillId="8" borderId="34" xfId="0" applyFont="1" applyFill="1" applyBorder="1" applyAlignment="1">
      <alignment horizontal="left" vertical="center" indent="1"/>
    </xf>
    <xf numFmtId="165" fontId="38" fillId="2" borderId="35" xfId="2" applyNumberFormat="1" applyFont="1" applyFill="1" applyBorder="1"/>
    <xf numFmtId="0" fontId="4" fillId="8" borderId="37" xfId="0" applyFont="1" applyFill="1" applyBorder="1" applyAlignment="1">
      <alignment horizontal="left" vertical="center" indent="1"/>
    </xf>
    <xf numFmtId="165" fontId="38" fillId="2" borderId="39" xfId="2" applyNumberFormat="1" applyFont="1" applyFill="1" applyBorder="1"/>
    <xf numFmtId="0" fontId="11" fillId="8" borderId="49" xfId="0" applyFont="1" applyFill="1" applyBorder="1" applyAlignment="1">
      <alignment horizontal="left" vertical="center"/>
    </xf>
    <xf numFmtId="165" fontId="40" fillId="2" borderId="31" xfId="2" applyNumberFormat="1" applyFont="1" applyFill="1" applyBorder="1"/>
    <xf numFmtId="165" fontId="40" fillId="2" borderId="53" xfId="2" applyNumberFormat="1" applyFont="1" applyFill="1" applyBorder="1"/>
    <xf numFmtId="165" fontId="11" fillId="2" borderId="31" xfId="2" applyNumberFormat="1" applyFont="1" applyFill="1" applyBorder="1"/>
    <xf numFmtId="165" fontId="11" fillId="2" borderId="32" xfId="2" applyNumberFormat="1" applyFont="1" applyFill="1" applyBorder="1"/>
    <xf numFmtId="182" fontId="11" fillId="2" borderId="0" xfId="2" applyNumberFormat="1" applyFont="1" applyFill="1"/>
    <xf numFmtId="174" fontId="10" fillId="32" borderId="28" xfId="0" applyNumberFormat="1" applyFont="1" applyFill="1" applyBorder="1" applyAlignment="1">
      <alignment vertical="center"/>
    </xf>
    <xf numFmtId="174" fontId="10" fillId="32" borderId="29" xfId="0" applyNumberFormat="1" applyFont="1" applyFill="1" applyBorder="1" applyAlignment="1">
      <alignment vertical="center"/>
    </xf>
    <xf numFmtId="0" fontId="10" fillId="32" borderId="26" xfId="0" applyFont="1" applyFill="1" applyBorder="1" applyAlignment="1">
      <alignment horizontal="left" vertical="center" wrapText="1"/>
    </xf>
    <xf numFmtId="1" fontId="10" fillId="32" borderId="28" xfId="0" applyNumberFormat="1" applyFont="1" applyFill="1" applyBorder="1" applyAlignment="1">
      <alignment horizontal="center" vertical="center"/>
    </xf>
    <xf numFmtId="1" fontId="10" fillId="32" borderId="29" xfId="0" applyNumberFormat="1" applyFont="1" applyFill="1" applyBorder="1" applyAlignment="1">
      <alignment horizontal="center" vertical="center"/>
    </xf>
    <xf numFmtId="164" fontId="11" fillId="11" borderId="0" xfId="0" applyNumberFormat="1" applyFont="1" applyFill="1"/>
    <xf numFmtId="164" fontId="7" fillId="41" borderId="38" xfId="0" applyNumberFormat="1" applyFont="1" applyFill="1" applyBorder="1"/>
    <xf numFmtId="164" fontId="7" fillId="41" borderId="39" xfId="0" applyNumberFormat="1" applyFont="1" applyFill="1" applyBorder="1"/>
    <xf numFmtId="0" fontId="7" fillId="41" borderId="36" xfId="0" applyFont="1" applyFill="1" applyBorder="1"/>
    <xf numFmtId="3" fontId="11" fillId="8" borderId="31" xfId="0" applyNumberFormat="1" applyFont="1" applyFill="1" applyBorder="1" applyAlignment="1">
      <alignment vertical="center"/>
    </xf>
    <xf numFmtId="3" fontId="4" fillId="8" borderId="31" xfId="0" applyNumberFormat="1" applyFont="1" applyFill="1" applyBorder="1" applyAlignment="1">
      <alignment vertical="center"/>
    </xf>
    <xf numFmtId="1" fontId="10" fillId="32" borderId="60" xfId="0" applyNumberFormat="1" applyFont="1" applyFill="1" applyBorder="1" applyAlignment="1">
      <alignment horizontal="right" vertical="center"/>
    </xf>
    <xf numFmtId="4" fontId="44" fillId="2" borderId="0" xfId="0" applyNumberFormat="1" applyFont="1" applyFill="1" applyAlignment="1">
      <alignment vertical="center"/>
    </xf>
    <xf numFmtId="1" fontId="10" fillId="32" borderId="61" xfId="0" applyNumberFormat="1" applyFont="1" applyFill="1" applyBorder="1" applyAlignment="1">
      <alignment horizontal="right" vertical="center"/>
    </xf>
    <xf numFmtId="3" fontId="38" fillId="8" borderId="30" xfId="0" applyNumberFormat="1" applyFont="1" applyFill="1" applyBorder="1" applyAlignment="1">
      <alignment vertical="center"/>
    </xf>
    <xf numFmtId="173" fontId="38" fillId="8" borderId="37" xfId="2" applyNumberFormat="1" applyFont="1" applyFill="1" applyBorder="1" applyAlignment="1">
      <alignment vertical="center"/>
    </xf>
    <xf numFmtId="173" fontId="38" fillId="8" borderId="27" xfId="2" applyNumberFormat="1" applyFont="1" applyFill="1" applyBorder="1" applyAlignment="1">
      <alignment vertical="center"/>
    </xf>
    <xf numFmtId="165" fontId="38" fillId="8" borderId="27" xfId="0" applyNumberFormat="1" applyFont="1" applyFill="1" applyBorder="1" applyAlignment="1">
      <alignment vertical="center"/>
    </xf>
    <xf numFmtId="173" fontId="38" fillId="8" borderId="34" xfId="0" applyNumberFormat="1" applyFont="1" applyFill="1" applyBorder="1" applyAlignment="1">
      <alignment vertical="center"/>
    </xf>
    <xf numFmtId="173" fontId="38" fillId="8" borderId="0" xfId="0" applyNumberFormat="1" applyFont="1" applyFill="1" applyAlignment="1">
      <alignment vertical="center"/>
    </xf>
    <xf numFmtId="3" fontId="38" fillId="8" borderId="34" xfId="0" applyNumberFormat="1" applyFont="1" applyFill="1" applyBorder="1" applyAlignment="1">
      <alignment vertical="center"/>
    </xf>
    <xf numFmtId="3" fontId="38" fillId="8" borderId="0" xfId="0" applyNumberFormat="1" applyFont="1" applyFill="1" applyAlignment="1">
      <alignment vertical="center"/>
    </xf>
    <xf numFmtId="173" fontId="38" fillId="8" borderId="37" xfId="0" applyNumberFormat="1" applyFont="1" applyFill="1" applyBorder="1" applyAlignment="1">
      <alignment vertical="center"/>
    </xf>
    <xf numFmtId="173" fontId="40" fillId="8" borderId="30" xfId="2" applyNumberFormat="1" applyFont="1" applyFill="1" applyBorder="1" applyAlignment="1">
      <alignment vertical="center"/>
    </xf>
    <xf numFmtId="173" fontId="38" fillId="8" borderId="34" xfId="2" applyNumberFormat="1" applyFont="1" applyFill="1" applyBorder="1" applyAlignment="1">
      <alignment vertical="center"/>
    </xf>
    <xf numFmtId="173" fontId="38" fillId="8" borderId="30" xfId="2" applyNumberFormat="1" applyFont="1" applyFill="1" applyBorder="1" applyAlignment="1">
      <alignment vertical="center"/>
    </xf>
    <xf numFmtId="174" fontId="40" fillId="8" borderId="30" xfId="0" applyNumberFormat="1" applyFont="1" applyFill="1" applyBorder="1" applyAlignment="1">
      <alignment vertical="center"/>
    </xf>
    <xf numFmtId="10" fontId="4" fillId="24" borderId="0" xfId="0" applyNumberFormat="1" applyFont="1" applyFill="1" applyAlignment="1">
      <alignment vertical="center"/>
    </xf>
    <xf numFmtId="10" fontId="11" fillId="8" borderId="0" xfId="2" applyNumberFormat="1" applyFont="1" applyFill="1" applyBorder="1" applyAlignment="1">
      <alignment vertical="center"/>
    </xf>
    <xf numFmtId="175" fontId="11" fillId="8" borderId="30" xfId="1" applyNumberFormat="1" applyFont="1" applyFill="1" applyBorder="1" applyAlignment="1">
      <alignment vertical="center"/>
    </xf>
    <xf numFmtId="0" fontId="38" fillId="8" borderId="34" xfId="0" applyFont="1" applyFill="1" applyBorder="1" applyAlignment="1">
      <alignment vertical="center"/>
    </xf>
    <xf numFmtId="174" fontId="11" fillId="8" borderId="34" xfId="0" applyNumberFormat="1" applyFont="1" applyFill="1" applyBorder="1" applyAlignment="1">
      <alignment vertical="center"/>
    </xf>
    <xf numFmtId="0" fontId="4" fillId="8" borderId="34" xfId="0" applyFont="1" applyFill="1" applyBorder="1" applyAlignment="1">
      <alignment vertical="center"/>
    </xf>
    <xf numFmtId="173" fontId="4" fillId="8" borderId="34" xfId="0" applyNumberFormat="1" applyFont="1" applyFill="1" applyBorder="1" applyAlignment="1">
      <alignment vertical="center"/>
    </xf>
    <xf numFmtId="0" fontId="4" fillId="8" borderId="37" xfId="0" applyFont="1" applyFill="1" applyBorder="1" applyAlignment="1">
      <alignment vertical="center"/>
    </xf>
    <xf numFmtId="174" fontId="11" fillId="8" borderId="30" xfId="0" applyNumberFormat="1" applyFont="1" applyFill="1" applyBorder="1" applyAlignment="1">
      <alignment vertical="center"/>
    </xf>
    <xf numFmtId="0" fontId="38" fillId="8" borderId="0" xfId="0" applyFont="1" applyFill="1" applyAlignment="1">
      <alignment vertical="center"/>
    </xf>
    <xf numFmtId="173" fontId="4" fillId="8" borderId="0" xfId="0" applyNumberFormat="1" applyFont="1" applyFill="1" applyAlignment="1">
      <alignment vertical="center"/>
    </xf>
    <xf numFmtId="173" fontId="11" fillId="8" borderId="30" xfId="2" applyNumberFormat="1" applyFont="1" applyFill="1" applyBorder="1" applyAlignment="1">
      <alignment vertical="center"/>
    </xf>
    <xf numFmtId="173" fontId="4" fillId="8" borderId="34" xfId="2" applyNumberFormat="1" applyFont="1" applyFill="1" applyBorder="1" applyAlignment="1">
      <alignment vertical="center"/>
    </xf>
    <xf numFmtId="173" fontId="4" fillId="8" borderId="37" xfId="2" applyNumberFormat="1" applyFont="1" applyFill="1" applyBorder="1" applyAlignment="1">
      <alignment vertical="center"/>
    </xf>
    <xf numFmtId="173" fontId="4" fillId="24" borderId="0" xfId="0" applyNumberFormat="1" applyFont="1" applyFill="1" applyAlignment="1">
      <alignment vertical="center"/>
    </xf>
    <xf numFmtId="1" fontId="11" fillId="8" borderId="34" xfId="0" applyNumberFormat="1" applyFont="1" applyFill="1" applyBorder="1" applyAlignment="1">
      <alignment vertical="center"/>
    </xf>
    <xf numFmtId="1" fontId="11" fillId="8" borderId="0" xfId="0" applyNumberFormat="1" applyFont="1" applyFill="1" applyAlignment="1">
      <alignment vertical="center"/>
    </xf>
    <xf numFmtId="173" fontId="4" fillId="8" borderId="30" xfId="2" applyNumberFormat="1" applyFont="1" applyFill="1" applyBorder="1" applyAlignment="1">
      <alignment vertical="center"/>
    </xf>
    <xf numFmtId="3" fontId="40" fillId="8" borderId="34" xfId="0" applyNumberFormat="1" applyFont="1" applyFill="1" applyBorder="1" applyAlignment="1">
      <alignment vertical="center"/>
    </xf>
    <xf numFmtId="3" fontId="40" fillId="8" borderId="0" xfId="0" applyNumberFormat="1" applyFont="1" applyFill="1" applyAlignment="1">
      <alignment vertical="center"/>
    </xf>
    <xf numFmtId="0" fontId="4" fillId="8" borderId="0" xfId="0" applyFont="1" applyFill="1" applyAlignment="1">
      <alignment vertical="top" wrapText="1"/>
    </xf>
    <xf numFmtId="0" fontId="2" fillId="3" borderId="0" xfId="3" applyFill="1"/>
    <xf numFmtId="176" fontId="10" fillId="32" borderId="6" xfId="0" applyNumberFormat="1" applyFont="1" applyFill="1" applyBorder="1" applyAlignment="1">
      <alignment horizontal="left" vertical="center" wrapText="1"/>
    </xf>
    <xf numFmtId="1" fontId="10" fillId="32" borderId="7" xfId="0" applyNumberFormat="1" applyFont="1" applyFill="1" applyBorder="1" applyAlignment="1">
      <alignment horizontal="right" vertical="center"/>
    </xf>
    <xf numFmtId="1" fontId="10" fillId="32" borderId="62" xfId="0" applyNumberFormat="1" applyFont="1" applyFill="1" applyBorder="1" applyAlignment="1">
      <alignment horizontal="right" vertical="center"/>
    </xf>
    <xf numFmtId="0" fontId="4" fillId="2" borderId="10" xfId="0" applyFont="1" applyFill="1" applyBorder="1" applyAlignment="1">
      <alignment horizontal="left" vertical="center" wrapText="1"/>
    </xf>
    <xf numFmtId="3" fontId="4" fillId="2" borderId="63" xfId="0" applyNumberFormat="1" applyFont="1" applyFill="1" applyBorder="1" applyAlignment="1">
      <alignment vertical="center"/>
    </xf>
    <xf numFmtId="0" fontId="11" fillId="2" borderId="10" xfId="0" applyFont="1" applyFill="1" applyBorder="1" applyAlignment="1">
      <alignment horizontal="left" vertical="center" wrapText="1"/>
    </xf>
    <xf numFmtId="3" fontId="11" fillId="2" borderId="63" xfId="0" applyNumberFormat="1" applyFont="1" applyFill="1" applyBorder="1" applyAlignment="1">
      <alignment vertical="center"/>
    </xf>
    <xf numFmtId="3" fontId="5" fillId="2" borderId="63" xfId="0" applyNumberFormat="1" applyFont="1" applyFill="1" applyBorder="1" applyAlignment="1">
      <alignment vertical="center"/>
    </xf>
    <xf numFmtId="0" fontId="4" fillId="2" borderId="63" xfId="0" applyFont="1" applyFill="1" applyBorder="1" applyAlignment="1">
      <alignment vertical="center"/>
    </xf>
    <xf numFmtId="176" fontId="10" fillId="32" borderId="10" xfId="0" applyNumberFormat="1" applyFont="1" applyFill="1" applyBorder="1" applyAlignment="1">
      <alignment horizontal="left" vertical="center" wrapText="1"/>
    </xf>
    <xf numFmtId="1" fontId="10" fillId="32" borderId="63" xfId="0" applyNumberFormat="1" applyFont="1" applyFill="1" applyBorder="1" applyAlignment="1">
      <alignment horizontal="right" vertical="center"/>
    </xf>
    <xf numFmtId="10" fontId="4" fillId="2" borderId="63" xfId="2" applyNumberFormat="1" applyFont="1" applyFill="1" applyBorder="1" applyAlignment="1">
      <alignment vertical="center"/>
    </xf>
    <xf numFmtId="1" fontId="4" fillId="8" borderId="63" xfId="2" applyNumberFormat="1" applyFont="1" applyFill="1" applyBorder="1" applyAlignment="1">
      <alignment vertical="center"/>
    </xf>
    <xf numFmtId="1" fontId="4" fillId="2" borderId="63" xfId="2" applyNumberFormat="1" applyFont="1" applyFill="1" applyBorder="1" applyAlignment="1">
      <alignment vertical="center"/>
    </xf>
    <xf numFmtId="173" fontId="4" fillId="2" borderId="63" xfId="2" applyNumberFormat="1" applyFont="1" applyFill="1" applyBorder="1" applyAlignment="1">
      <alignment vertical="center"/>
    </xf>
    <xf numFmtId="3" fontId="29" fillId="36" borderId="0" xfId="0" applyNumberFormat="1" applyFont="1" applyFill="1" applyAlignment="1">
      <alignment vertical="center"/>
    </xf>
    <xf numFmtId="173" fontId="4" fillId="8" borderId="63" xfId="2" applyNumberFormat="1" applyFont="1" applyFill="1" applyBorder="1" applyAlignment="1">
      <alignment vertical="center"/>
    </xf>
    <xf numFmtId="3" fontId="4" fillId="8" borderId="63" xfId="0" applyNumberFormat="1" applyFont="1" applyFill="1" applyBorder="1" applyAlignment="1">
      <alignment vertical="center"/>
    </xf>
    <xf numFmtId="3" fontId="11" fillId="8" borderId="63" xfId="0" applyNumberFormat="1" applyFont="1" applyFill="1" applyBorder="1" applyAlignment="1">
      <alignment vertical="center"/>
    </xf>
    <xf numFmtId="0" fontId="15" fillId="2" borderId="10" xfId="0" applyFont="1" applyFill="1" applyBorder="1" applyAlignment="1">
      <alignment horizontal="left" vertical="center" wrapText="1"/>
    </xf>
    <xf numFmtId="1" fontId="15" fillId="2" borderId="0" xfId="0" applyNumberFormat="1" applyFont="1" applyFill="1" applyAlignment="1">
      <alignment vertical="center"/>
    </xf>
    <xf numFmtId="1" fontId="15" fillId="2" borderId="63" xfId="0" applyNumberFormat="1" applyFont="1" applyFill="1" applyBorder="1" applyAlignment="1">
      <alignment vertical="center"/>
    </xf>
    <xf numFmtId="8" fontId="4" fillId="2" borderId="0" xfId="0" applyNumberFormat="1" applyFont="1" applyFill="1" applyAlignment="1">
      <alignment vertical="center"/>
    </xf>
    <xf numFmtId="0" fontId="4" fillId="2" borderId="13" xfId="0" applyFont="1" applyFill="1" applyBorder="1" applyAlignment="1">
      <alignment horizontal="left" vertical="center" wrapText="1"/>
    </xf>
    <xf numFmtId="3" fontId="4" fillId="2" borderId="14" xfId="0" applyNumberFormat="1" applyFont="1" applyFill="1" applyBorder="1" applyAlignment="1">
      <alignment vertical="center"/>
    </xf>
    <xf numFmtId="3" fontId="4" fillId="2" borderId="64" xfId="0" applyNumberFormat="1" applyFont="1" applyFill="1" applyBorder="1" applyAlignment="1">
      <alignment vertical="center"/>
    </xf>
    <xf numFmtId="176" fontId="10" fillId="28" borderId="65" xfId="0" applyNumberFormat="1" applyFont="1" applyFill="1" applyBorder="1" applyAlignment="1">
      <alignment horizontal="left" vertical="center" wrapText="1"/>
    </xf>
    <xf numFmtId="1" fontId="10" fillId="28" borderId="66" xfId="0" applyNumberFormat="1" applyFont="1" applyFill="1" applyBorder="1" applyAlignment="1">
      <alignment horizontal="right" vertical="center"/>
    </xf>
    <xf numFmtId="1" fontId="10" fillId="28" borderId="67" xfId="0" applyNumberFormat="1" applyFont="1" applyFill="1" applyBorder="1" applyAlignment="1">
      <alignment horizontal="right" vertical="center"/>
    </xf>
    <xf numFmtId="0" fontId="4" fillId="2" borderId="68" xfId="0" applyFont="1" applyFill="1" applyBorder="1" applyAlignment="1">
      <alignment horizontal="left" vertical="center" wrapText="1"/>
    </xf>
    <xf numFmtId="165" fontId="4" fillId="2" borderId="69" xfId="0" applyNumberFormat="1" applyFont="1" applyFill="1" applyBorder="1" applyAlignment="1">
      <alignment vertical="center"/>
    </xf>
    <xf numFmtId="173" fontId="4" fillId="2" borderId="69" xfId="2" applyNumberFormat="1" applyFont="1" applyFill="1" applyBorder="1" applyAlignment="1">
      <alignment vertical="center"/>
    </xf>
    <xf numFmtId="3" fontId="4" fillId="2" borderId="69" xfId="0" applyNumberFormat="1" applyFont="1" applyFill="1" applyBorder="1" applyAlignment="1">
      <alignment vertical="center"/>
    </xf>
    <xf numFmtId="0" fontId="11" fillId="2" borderId="68" xfId="0" applyFont="1" applyFill="1" applyBorder="1" applyAlignment="1">
      <alignment horizontal="left" vertical="center" wrapText="1"/>
    </xf>
    <xf numFmtId="3" fontId="11" fillId="2" borderId="69" xfId="0" applyNumberFormat="1" applyFont="1" applyFill="1" applyBorder="1" applyAlignment="1">
      <alignment vertical="center"/>
    </xf>
    <xf numFmtId="0" fontId="41" fillId="2" borderId="68" xfId="0" applyFont="1" applyFill="1" applyBorder="1" applyAlignment="1">
      <alignment horizontal="left" vertical="center" wrapText="1"/>
    </xf>
    <xf numFmtId="164" fontId="41" fillId="2" borderId="0" xfId="0" applyNumberFormat="1" applyFont="1" applyFill="1" applyAlignment="1">
      <alignment vertical="center"/>
    </xf>
    <xf numFmtId="164" fontId="41" fillId="2" borderId="69" xfId="0" applyNumberFormat="1" applyFont="1" applyFill="1" applyBorder="1" applyAlignment="1">
      <alignment vertical="center"/>
    </xf>
    <xf numFmtId="0" fontId="42" fillId="2" borderId="68" xfId="0" applyFont="1" applyFill="1" applyBorder="1" applyAlignment="1">
      <alignment horizontal="left" vertical="center" wrapText="1"/>
    </xf>
    <xf numFmtId="164" fontId="42" fillId="2" borderId="0" xfId="0" applyNumberFormat="1" applyFont="1" applyFill="1" applyAlignment="1">
      <alignment vertical="center"/>
    </xf>
    <xf numFmtId="164" fontId="42" fillId="2" borderId="69" xfId="0" applyNumberFormat="1" applyFont="1" applyFill="1" applyBorder="1" applyAlignment="1">
      <alignment vertical="center"/>
    </xf>
    <xf numFmtId="3" fontId="43" fillId="2" borderId="0" xfId="0" applyNumberFormat="1" applyFont="1" applyFill="1" applyAlignment="1">
      <alignment vertical="center"/>
    </xf>
    <xf numFmtId="3" fontId="5" fillId="2" borderId="69" xfId="0" applyNumberFormat="1" applyFont="1" applyFill="1" applyBorder="1" applyAlignment="1">
      <alignment vertical="center"/>
    </xf>
    <xf numFmtId="0" fontId="4" fillId="2" borderId="69" xfId="0" applyFont="1" applyFill="1" applyBorder="1" applyAlignment="1">
      <alignment vertical="center"/>
    </xf>
    <xf numFmtId="176" fontId="10" fillId="32" borderId="68" xfId="0" applyNumberFormat="1" applyFont="1" applyFill="1" applyBorder="1" applyAlignment="1">
      <alignment horizontal="left" vertical="center" wrapText="1"/>
    </xf>
    <xf numFmtId="1" fontId="10" fillId="32" borderId="69" xfId="0" applyNumberFormat="1" applyFont="1" applyFill="1" applyBorder="1" applyAlignment="1">
      <alignment horizontal="right" vertical="center"/>
    </xf>
    <xf numFmtId="1" fontId="4" fillId="2" borderId="69" xfId="2" applyNumberFormat="1" applyFont="1" applyFill="1" applyBorder="1" applyAlignment="1">
      <alignment vertical="center"/>
    </xf>
    <xf numFmtId="3" fontId="41" fillId="2" borderId="69" xfId="0" applyNumberFormat="1" applyFont="1" applyFill="1" applyBorder="1" applyAlignment="1">
      <alignment vertical="center"/>
    </xf>
    <xf numFmtId="3" fontId="4" fillId="8" borderId="69" xfId="0" applyNumberFormat="1" applyFont="1" applyFill="1" applyBorder="1" applyAlignment="1">
      <alignment vertical="center"/>
    </xf>
    <xf numFmtId="1" fontId="4" fillId="8" borderId="69" xfId="2" applyNumberFormat="1" applyFont="1" applyFill="1" applyBorder="1" applyAlignment="1">
      <alignment vertical="center"/>
    </xf>
    <xf numFmtId="3" fontId="11" fillId="8" borderId="69" xfId="0" applyNumberFormat="1" applyFont="1" applyFill="1" applyBorder="1" applyAlignment="1">
      <alignment vertical="center"/>
    </xf>
    <xf numFmtId="0" fontId="44" fillId="2" borderId="68" xfId="0" applyFont="1" applyFill="1" applyBorder="1" applyAlignment="1">
      <alignment horizontal="left" vertical="center" wrapText="1"/>
    </xf>
    <xf numFmtId="3" fontId="44" fillId="8" borderId="0" xfId="0" applyNumberFormat="1" applyFont="1" applyFill="1" applyAlignment="1">
      <alignment vertical="center"/>
    </xf>
    <xf numFmtId="4" fontId="44" fillId="8" borderId="0" xfId="0" applyNumberFormat="1" applyFont="1" applyFill="1" applyAlignment="1">
      <alignment vertical="center"/>
    </xf>
    <xf numFmtId="4" fontId="44" fillId="8" borderId="69" xfId="0" applyNumberFormat="1" applyFont="1" applyFill="1" applyBorder="1" applyAlignment="1">
      <alignment vertical="center"/>
    </xf>
    <xf numFmtId="0" fontId="45" fillId="2" borderId="68" xfId="0" applyFont="1" applyFill="1" applyBorder="1" applyAlignment="1">
      <alignment horizontal="left" vertical="center" wrapText="1"/>
    </xf>
    <xf numFmtId="3" fontId="45" fillId="8" borderId="0" xfId="0" applyNumberFormat="1" applyFont="1" applyFill="1" applyAlignment="1">
      <alignment vertical="center"/>
    </xf>
    <xf numFmtId="4" fontId="45" fillId="8" borderId="0" xfId="0" applyNumberFormat="1" applyFont="1" applyFill="1" applyAlignment="1">
      <alignment vertical="center"/>
    </xf>
    <xf numFmtId="4" fontId="45" fillId="8" borderId="69" xfId="0" applyNumberFormat="1" applyFont="1" applyFill="1" applyBorder="1" applyAlignment="1">
      <alignment vertical="center"/>
    </xf>
    <xf numFmtId="0" fontId="46" fillId="2" borderId="68" xfId="0" applyFont="1" applyFill="1" applyBorder="1" applyAlignment="1">
      <alignment horizontal="left" vertical="center" wrapText="1"/>
    </xf>
    <xf numFmtId="3" fontId="46" fillId="8" borderId="0" xfId="0" applyNumberFormat="1" applyFont="1" applyFill="1" applyAlignment="1">
      <alignment vertical="center"/>
    </xf>
    <xf numFmtId="3" fontId="46" fillId="8" borderId="69" xfId="0" applyNumberFormat="1" applyFont="1" applyFill="1" applyBorder="1" applyAlignment="1">
      <alignment vertical="center"/>
    </xf>
    <xf numFmtId="0" fontId="5" fillId="2" borderId="68" xfId="0" applyFont="1" applyFill="1" applyBorder="1" applyAlignment="1">
      <alignment horizontal="left" vertical="center" wrapText="1"/>
    </xf>
    <xf numFmtId="3" fontId="44" fillId="2" borderId="69" xfId="0" applyNumberFormat="1" applyFont="1" applyFill="1" applyBorder="1" applyAlignment="1">
      <alignment vertical="center"/>
    </xf>
    <xf numFmtId="165" fontId="15" fillId="2" borderId="68" xfId="0" applyNumberFormat="1" applyFont="1" applyFill="1" applyBorder="1" applyAlignment="1">
      <alignment horizontal="left" vertical="center" wrapText="1"/>
    </xf>
    <xf numFmtId="0" fontId="15" fillId="2" borderId="68" xfId="0" applyFont="1" applyFill="1" applyBorder="1" applyAlignment="1">
      <alignment horizontal="left" vertical="center" wrapText="1"/>
    </xf>
    <xf numFmtId="176" fontId="10" fillId="32" borderId="70" xfId="0" applyNumberFormat="1" applyFont="1" applyFill="1" applyBorder="1" applyAlignment="1">
      <alignment horizontal="left" vertical="center" wrapText="1"/>
    </xf>
    <xf numFmtId="1" fontId="10" fillId="32" borderId="71" xfId="0" applyNumberFormat="1" applyFont="1" applyFill="1" applyBorder="1" applyAlignment="1">
      <alignment horizontal="right" vertical="center"/>
    </xf>
    <xf numFmtId="10" fontId="4" fillId="2" borderId="69" xfId="2" applyNumberFormat="1" applyFont="1" applyFill="1" applyBorder="1" applyAlignment="1">
      <alignment vertical="center"/>
    </xf>
    <xf numFmtId="0" fontId="4" fillId="2" borderId="72" xfId="0" applyFont="1" applyFill="1" applyBorder="1" applyAlignment="1">
      <alignment horizontal="left" vertical="center" wrapText="1"/>
    </xf>
    <xf numFmtId="3" fontId="4" fillId="2" borderId="73" xfId="0" applyNumberFormat="1" applyFont="1" applyFill="1" applyBorder="1" applyAlignment="1">
      <alignment vertical="center"/>
    </xf>
    <xf numFmtId="3" fontId="4" fillId="2" borderId="74" xfId="0" applyNumberFormat="1" applyFont="1" applyFill="1" applyBorder="1" applyAlignment="1">
      <alignment vertical="center"/>
    </xf>
    <xf numFmtId="176" fontId="10" fillId="32" borderId="65" xfId="0" applyNumberFormat="1" applyFont="1" applyFill="1" applyBorder="1" applyAlignment="1">
      <alignment horizontal="left" vertical="center" wrapText="1"/>
    </xf>
    <xf numFmtId="1" fontId="10" fillId="32" borderId="66" xfId="0" applyNumberFormat="1" applyFont="1" applyFill="1" applyBorder="1" applyAlignment="1">
      <alignment horizontal="right" vertical="center"/>
    </xf>
    <xf numFmtId="1" fontId="10" fillId="32" borderId="67" xfId="0" applyNumberFormat="1" applyFont="1" applyFill="1" applyBorder="1" applyAlignment="1">
      <alignment horizontal="right" vertical="center"/>
    </xf>
    <xf numFmtId="173" fontId="4" fillId="8" borderId="69" xfId="2" applyNumberFormat="1" applyFont="1" applyFill="1" applyBorder="1" applyAlignment="1">
      <alignment vertical="center"/>
    </xf>
    <xf numFmtId="4" fontId="44" fillId="2" borderId="69" xfId="0" applyNumberFormat="1" applyFont="1" applyFill="1" applyBorder="1" applyAlignment="1">
      <alignment vertical="center"/>
    </xf>
    <xf numFmtId="0" fontId="4" fillId="8" borderId="68" xfId="0" applyFont="1" applyFill="1" applyBorder="1" applyAlignment="1">
      <alignment horizontal="left" vertical="center" wrapText="1"/>
    </xf>
    <xf numFmtId="176" fontId="10" fillId="32" borderId="75" xfId="0" applyNumberFormat="1" applyFont="1" applyFill="1" applyBorder="1" applyAlignment="1">
      <alignment horizontal="left" vertical="center" wrapText="1"/>
    </xf>
    <xf numFmtId="1" fontId="10" fillId="32" borderId="76" xfId="0" applyNumberFormat="1" applyFont="1" applyFill="1" applyBorder="1" applyAlignment="1">
      <alignment horizontal="right" vertical="center"/>
    </xf>
    <xf numFmtId="0" fontId="4" fillId="2" borderId="66" xfId="0" applyFont="1" applyFill="1" applyBorder="1"/>
    <xf numFmtId="0" fontId="4" fillId="2" borderId="73" xfId="0" applyFont="1" applyFill="1" applyBorder="1"/>
    <xf numFmtId="3" fontId="4" fillId="2" borderId="32" xfId="0" applyNumberFormat="1" applyFont="1" applyFill="1" applyBorder="1" applyAlignment="1">
      <alignment vertical="center"/>
    </xf>
    <xf numFmtId="3" fontId="4" fillId="2" borderId="35" xfId="0" applyNumberFormat="1" applyFont="1" applyFill="1" applyBorder="1" applyAlignment="1">
      <alignment vertical="center"/>
    </xf>
    <xf numFmtId="3" fontId="10" fillId="34" borderId="35" xfId="0" applyNumberFormat="1" applyFont="1" applyFill="1" applyBorder="1" applyAlignment="1">
      <alignment vertical="center"/>
    </xf>
    <xf numFmtId="3" fontId="4" fillId="8" borderId="35" xfId="0" applyNumberFormat="1" applyFont="1" applyFill="1" applyBorder="1" applyAlignment="1">
      <alignment vertical="center"/>
    </xf>
    <xf numFmtId="3" fontId="11" fillId="2" borderId="39" xfId="0" applyNumberFormat="1" applyFont="1" applyFill="1" applyBorder="1" applyAlignment="1">
      <alignment vertical="center"/>
    </xf>
    <xf numFmtId="3" fontId="11" fillId="2" borderId="35" xfId="0" applyNumberFormat="1" applyFont="1" applyFill="1" applyBorder="1" applyAlignment="1">
      <alignment vertical="center"/>
    </xf>
    <xf numFmtId="3" fontId="4" fillId="2" borderId="39" xfId="0" applyNumberFormat="1" applyFont="1" applyFill="1" applyBorder="1" applyAlignment="1">
      <alignment vertical="center"/>
    </xf>
    <xf numFmtId="3" fontId="11" fillId="2" borderId="32" xfId="0" applyNumberFormat="1" applyFont="1" applyFill="1" applyBorder="1" applyAlignment="1">
      <alignment vertical="center"/>
    </xf>
    <xf numFmtId="3" fontId="10" fillId="34" borderId="39" xfId="0" applyNumberFormat="1" applyFont="1" applyFill="1" applyBorder="1" applyAlignment="1">
      <alignment vertical="center"/>
    </xf>
    <xf numFmtId="3" fontId="21" fillId="2" borderId="32" xfId="0" applyNumberFormat="1" applyFont="1" applyFill="1" applyBorder="1" applyAlignment="1">
      <alignment vertical="center"/>
    </xf>
    <xf numFmtId="3" fontId="21" fillId="2" borderId="35" xfId="0" applyNumberFormat="1" applyFont="1" applyFill="1" applyBorder="1" applyAlignment="1">
      <alignment vertical="center"/>
    </xf>
    <xf numFmtId="3" fontId="5" fillId="2" borderId="35" xfId="0" applyNumberFormat="1" applyFont="1" applyFill="1" applyBorder="1" applyAlignment="1">
      <alignment vertical="center"/>
    </xf>
    <xf numFmtId="3" fontId="11" fillId="39" borderId="35" xfId="0" applyNumberFormat="1" applyFont="1" applyFill="1" applyBorder="1" applyAlignment="1">
      <alignment vertical="center"/>
    </xf>
    <xf numFmtId="3" fontId="11" fillId="39" borderId="39" xfId="0" applyNumberFormat="1" applyFont="1" applyFill="1" applyBorder="1" applyAlignment="1">
      <alignment vertical="center"/>
    </xf>
    <xf numFmtId="0" fontId="10" fillId="32" borderId="32" xfId="0" applyFont="1" applyFill="1" applyBorder="1" applyAlignment="1">
      <alignment vertical="center"/>
    </xf>
    <xf numFmtId="3" fontId="11" fillId="6" borderId="35" xfId="0" applyNumberFormat="1" applyFont="1" applyFill="1" applyBorder="1" applyAlignment="1">
      <alignment vertical="center"/>
    </xf>
    <xf numFmtId="3" fontId="21" fillId="8" borderId="35" xfId="0" applyNumberFormat="1" applyFont="1" applyFill="1" applyBorder="1" applyAlignment="1">
      <alignment vertical="center"/>
    </xf>
    <xf numFmtId="3" fontId="5" fillId="8" borderId="35" xfId="0" applyNumberFormat="1" applyFont="1" applyFill="1" applyBorder="1" applyAlignment="1">
      <alignment vertical="center"/>
    </xf>
    <xf numFmtId="3" fontId="21" fillId="6" borderId="35" xfId="0" applyNumberFormat="1" applyFont="1" applyFill="1" applyBorder="1" applyAlignment="1">
      <alignment vertical="center"/>
    </xf>
    <xf numFmtId="3" fontId="5" fillId="8" borderId="39" xfId="0" applyNumberFormat="1" applyFont="1" applyFill="1" applyBorder="1" applyAlignment="1">
      <alignment vertical="center"/>
    </xf>
    <xf numFmtId="3" fontId="15" fillId="8" borderId="0" xfId="0" applyNumberFormat="1" applyFont="1" applyFill="1" applyAlignment="1">
      <alignment vertical="center"/>
    </xf>
    <xf numFmtId="174" fontId="10" fillId="32" borderId="32" xfId="0" applyNumberFormat="1" applyFont="1" applyFill="1" applyBorder="1"/>
    <xf numFmtId="3" fontId="40" fillId="33" borderId="77" xfId="0" applyNumberFormat="1" applyFont="1" applyFill="1" applyBorder="1"/>
    <xf numFmtId="3" fontId="7" fillId="12" borderId="0" xfId="0" applyNumberFormat="1" applyFont="1" applyFill="1"/>
    <xf numFmtId="3" fontId="11" fillId="33" borderId="39" xfId="0" applyNumberFormat="1" applyFont="1" applyFill="1" applyBorder="1"/>
    <xf numFmtId="0" fontId="7" fillId="8" borderId="0" xfId="0" applyFont="1" applyFill="1" applyAlignment="1">
      <alignment horizontal="left" indent="1"/>
    </xf>
    <xf numFmtId="3" fontId="7" fillId="8" borderId="35" xfId="0" applyNumberFormat="1" applyFont="1" applyFill="1" applyBorder="1"/>
    <xf numFmtId="3" fontId="7" fillId="10" borderId="0" xfId="0" applyNumberFormat="1" applyFont="1" applyFill="1"/>
    <xf numFmtId="3" fontId="7" fillId="10" borderId="35" xfId="0" applyNumberFormat="1" applyFont="1" applyFill="1" applyBorder="1"/>
    <xf numFmtId="0" fontId="3" fillId="8" borderId="0" xfId="0" applyFont="1" applyFill="1" applyAlignment="1">
      <alignment vertical="top"/>
    </xf>
    <xf numFmtId="0" fontId="59" fillId="3" borderId="79" xfId="0" applyFont="1" applyFill="1" applyBorder="1" applyAlignment="1">
      <alignment horizontal="center" vertical="center"/>
    </xf>
    <xf numFmtId="0" fontId="33" fillId="3" borderId="0" xfId="0" applyFont="1" applyFill="1" applyAlignment="1">
      <alignment horizontal="left" vertical="center" wrapText="1"/>
    </xf>
    <xf numFmtId="0" fontId="33" fillId="3" borderId="0" xfId="0" applyFont="1" applyFill="1"/>
    <xf numFmtId="0" fontId="33" fillId="3" borderId="0" xfId="0" applyFont="1" applyFill="1" applyAlignment="1">
      <alignment horizontal="left" vertical="top"/>
    </xf>
    <xf numFmtId="0" fontId="62" fillId="3" borderId="0" xfId="0" applyFont="1" applyFill="1"/>
    <xf numFmtId="0" fontId="63" fillId="3" borderId="0" xfId="0" quotePrefix="1" applyFont="1" applyFill="1" applyAlignment="1">
      <alignment vertical="center"/>
    </xf>
    <xf numFmtId="0" fontId="33" fillId="3" borderId="0" xfId="0" applyFont="1" applyFill="1" applyAlignment="1">
      <alignment vertical="center"/>
    </xf>
    <xf numFmtId="0" fontId="64" fillId="3" borderId="0" xfId="0" applyFont="1" applyFill="1" applyAlignment="1">
      <alignment horizontal="center" vertical="center"/>
    </xf>
    <xf numFmtId="0" fontId="65" fillId="3" borderId="80" xfId="0" quotePrefix="1" applyFont="1" applyFill="1" applyBorder="1" applyAlignment="1">
      <alignment vertical="center"/>
    </xf>
    <xf numFmtId="0" fontId="33" fillId="3" borderId="80" xfId="0" applyFont="1" applyFill="1" applyBorder="1" applyAlignment="1">
      <alignment vertical="center"/>
    </xf>
    <xf numFmtId="0" fontId="66" fillId="3" borderId="0" xfId="0" quotePrefix="1" applyFont="1" applyFill="1" applyAlignment="1">
      <alignment vertical="center"/>
    </xf>
    <xf numFmtId="0" fontId="65" fillId="3" borderId="0" xfId="0" quotePrefix="1" applyFont="1" applyFill="1" applyAlignment="1">
      <alignment vertical="center"/>
    </xf>
    <xf numFmtId="0" fontId="3" fillId="8" borderId="0" xfId="0" applyFont="1" applyFill="1"/>
    <xf numFmtId="0" fontId="31" fillId="42" borderId="0" xfId="0" applyFont="1" applyFill="1" applyAlignment="1">
      <alignment vertical="center"/>
    </xf>
    <xf numFmtId="0" fontId="31" fillId="8" borderId="0" xfId="0" applyFont="1" applyFill="1" applyAlignment="1">
      <alignment vertical="center"/>
    </xf>
    <xf numFmtId="0" fontId="2" fillId="3" borderId="79" xfId="3" applyFill="1" applyBorder="1" applyAlignment="1">
      <alignment horizontal="center" vertical="center" wrapText="1"/>
    </xf>
    <xf numFmtId="0" fontId="12" fillId="12" borderId="0" xfId="0" applyFont="1" applyFill="1" applyAlignment="1">
      <alignment horizontal="left" vertical="center" wrapText="1"/>
    </xf>
    <xf numFmtId="0" fontId="68" fillId="12" borderId="78" xfId="3" applyFont="1" applyFill="1" applyBorder="1" applyAlignment="1">
      <alignment horizontal="left" vertical="center" wrapText="1"/>
    </xf>
    <xf numFmtId="0" fontId="68" fillId="12" borderId="78" xfId="3" applyFont="1" applyFill="1" applyBorder="1" applyAlignment="1">
      <alignment horizontal="center" vertical="center" wrapText="1"/>
    </xf>
    <xf numFmtId="0" fontId="12" fillId="2" borderId="0" xfId="0" applyFont="1" applyFill="1"/>
    <xf numFmtId="0" fontId="69" fillId="3" borderId="79" xfId="0" applyFont="1" applyFill="1" applyBorder="1" applyAlignment="1">
      <alignment horizontal="center" vertical="center"/>
    </xf>
    <xf numFmtId="0" fontId="68" fillId="3" borderId="79" xfId="3" applyFont="1" applyFill="1" applyBorder="1" applyAlignment="1">
      <alignment horizontal="center" vertical="center" wrapText="1"/>
    </xf>
    <xf numFmtId="0" fontId="33" fillId="3" borderId="0" xfId="0" applyFont="1" applyFill="1" applyAlignment="1">
      <alignment horizontal="left" vertical="center" wrapText="1"/>
    </xf>
    <xf numFmtId="0" fontId="33" fillId="42" borderId="0" xfId="0" applyFont="1" applyFill="1" applyAlignment="1">
      <alignment horizontal="left" vertical="top" wrapText="1"/>
    </xf>
    <xf numFmtId="0" fontId="33" fillId="8" borderId="0" xfId="0" applyFont="1" applyFill="1" applyAlignment="1">
      <alignment horizontal="left" vertical="center" wrapText="1"/>
    </xf>
    <xf numFmtId="0" fontId="33" fillId="8" borderId="0" xfId="0" applyFont="1" applyFill="1" applyAlignment="1">
      <alignment horizontal="left" vertical="top" wrapText="1"/>
    </xf>
    <xf numFmtId="0" fontId="33" fillId="42" borderId="0" xfId="0" applyFont="1" applyFill="1" applyAlignment="1">
      <alignment horizontal="left" vertical="center"/>
    </xf>
    <xf numFmtId="0" fontId="33" fillId="3" borderId="0" xfId="0" applyFont="1" applyFill="1" applyAlignment="1">
      <alignment horizontal="left" vertical="top"/>
    </xf>
    <xf numFmtId="0" fontId="19" fillId="13" borderId="0" xfId="0" applyFont="1" applyFill="1" applyAlignment="1" applyProtection="1">
      <alignment horizontal="center" vertical="center" wrapText="1"/>
      <protection hidden="1"/>
    </xf>
    <xf numFmtId="0" fontId="7" fillId="3" borderId="0" xfId="0" applyFont="1" applyFill="1" applyAlignment="1">
      <alignment horizontal="left" vertical="center" wrapText="1"/>
    </xf>
    <xf numFmtId="0" fontId="36" fillId="3" borderId="0" xfId="0" applyFont="1" applyFill="1" applyAlignment="1">
      <alignment horizontal="left" vertical="center" wrapText="1"/>
    </xf>
    <xf numFmtId="0" fontId="7" fillId="2" borderId="0" xfId="0" applyFont="1" applyFill="1" applyAlignment="1">
      <alignment horizontal="left" vertical="center" wrapText="1"/>
    </xf>
    <xf numFmtId="0" fontId="4" fillId="3" borderId="0" xfId="0" applyFont="1" applyFill="1" applyAlignment="1">
      <alignment horizontal="left" vertical="top" wrapText="1"/>
    </xf>
    <xf numFmtId="0" fontId="4" fillId="2" borderId="0" xfId="0" applyFont="1" applyFill="1" applyAlignment="1">
      <alignment horizontal="left" wrapText="1"/>
    </xf>
    <xf numFmtId="0" fontId="19" fillId="13" borderId="0" xfId="0" applyFont="1" applyFill="1" applyAlignment="1" applyProtection="1">
      <alignment horizontal="center" vertical="center"/>
      <protection hidden="1"/>
    </xf>
    <xf numFmtId="0" fontId="21" fillId="29" borderId="0" xfId="0" applyFont="1" applyFill="1" applyAlignment="1" applyProtection="1">
      <alignment horizontal="center" vertical="center" wrapText="1"/>
      <protection hidden="1"/>
    </xf>
    <xf numFmtId="0" fontId="54" fillId="2" borderId="0" xfId="0" applyFont="1" applyFill="1" applyAlignment="1">
      <alignment horizontal="left" vertical="center" wrapText="1"/>
    </xf>
    <xf numFmtId="0" fontId="4" fillId="8" borderId="0" xfId="0" applyFont="1" applyFill="1" applyAlignment="1">
      <alignment horizontal="left" vertical="center" wrapText="1"/>
    </xf>
    <xf numFmtId="0" fontId="36" fillId="8" borderId="30" xfId="0" applyFont="1" applyFill="1" applyBorder="1" applyAlignment="1">
      <alignment horizontal="center" vertical="center" wrapText="1"/>
    </xf>
    <xf numFmtId="0" fontId="36" fillId="8" borderId="34" xfId="0" applyFont="1" applyFill="1" applyBorder="1" applyAlignment="1">
      <alignment horizontal="center" vertical="center" wrapText="1"/>
    </xf>
    <xf numFmtId="0" fontId="36" fillId="8" borderId="37" xfId="0" applyFont="1" applyFill="1" applyBorder="1" applyAlignment="1">
      <alignment horizontal="center" vertical="center" wrapText="1"/>
    </xf>
    <xf numFmtId="0" fontId="10" fillId="32" borderId="0" xfId="0" applyFont="1" applyFill="1" applyAlignment="1">
      <alignment horizontal="center" vertical="center"/>
    </xf>
    <xf numFmtId="0" fontId="4" fillId="2" borderId="0" xfId="0" applyFont="1" applyFill="1" applyAlignment="1">
      <alignment horizontal="left" vertical="center" wrapText="1"/>
    </xf>
    <xf numFmtId="0" fontId="10" fillId="28" borderId="30" xfId="0" applyFont="1" applyFill="1" applyBorder="1" applyAlignment="1">
      <alignment horizontal="center" vertical="center" wrapText="1"/>
    </xf>
    <xf numFmtId="0" fontId="10" fillId="28" borderId="34" xfId="0" applyFont="1" applyFill="1" applyBorder="1" applyAlignment="1">
      <alignment horizontal="center" vertical="center" wrapText="1"/>
    </xf>
    <xf numFmtId="0" fontId="10" fillId="28" borderId="37" xfId="0" applyFont="1" applyFill="1" applyBorder="1" applyAlignment="1">
      <alignment horizontal="center" vertical="center" wrapText="1"/>
    </xf>
    <xf numFmtId="0" fontId="11" fillId="38" borderId="31" xfId="0" applyFont="1" applyFill="1" applyBorder="1" applyAlignment="1">
      <alignment horizontal="center" vertical="center" wrapText="1"/>
    </xf>
    <xf numFmtId="0" fontId="11" fillId="38" borderId="0" xfId="0" applyFont="1" applyFill="1" applyAlignment="1">
      <alignment horizontal="center" vertical="center" wrapText="1"/>
    </xf>
    <xf numFmtId="0" fontId="11" fillId="38" borderId="38" xfId="0" applyFont="1" applyFill="1" applyBorder="1" applyAlignment="1">
      <alignment horizontal="center" vertical="center" wrapText="1"/>
    </xf>
    <xf numFmtId="0" fontId="10" fillId="37" borderId="30" xfId="0" applyFont="1" applyFill="1" applyBorder="1" applyAlignment="1">
      <alignment horizontal="center" vertical="center" wrapText="1"/>
    </xf>
    <xf numFmtId="0" fontId="10" fillId="37" borderId="34" xfId="0" applyFont="1" applyFill="1" applyBorder="1" applyAlignment="1">
      <alignment horizontal="center" vertical="center" wrapText="1"/>
    </xf>
    <xf numFmtId="0" fontId="10" fillId="37" borderId="37" xfId="0" applyFont="1" applyFill="1" applyBorder="1" applyAlignment="1">
      <alignment horizontal="center" vertical="center" wrapText="1"/>
    </xf>
    <xf numFmtId="0" fontId="11" fillId="38" borderId="49" xfId="0" applyFont="1" applyFill="1" applyBorder="1" applyAlignment="1">
      <alignment horizontal="center" vertical="center" wrapText="1"/>
    </xf>
    <xf numFmtId="0" fontId="11" fillId="38" borderId="33" xfId="0" applyFont="1" applyFill="1" applyBorder="1" applyAlignment="1">
      <alignment horizontal="center" vertical="center" wrapText="1"/>
    </xf>
    <xf numFmtId="0" fontId="11" fillId="38" borderId="36"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38" borderId="30" xfId="0" applyFont="1" applyFill="1" applyBorder="1" applyAlignment="1">
      <alignment horizontal="center" vertical="center" wrapText="1"/>
    </xf>
    <xf numFmtId="0" fontId="11" fillId="38" borderId="34" xfId="0" applyFont="1" applyFill="1" applyBorder="1" applyAlignment="1">
      <alignment horizontal="center" vertical="center" wrapText="1"/>
    </xf>
    <xf numFmtId="0" fontId="11" fillId="38" borderId="37" xfId="0" applyFont="1" applyFill="1" applyBorder="1" applyAlignment="1">
      <alignment horizontal="center" vertical="center" wrapText="1"/>
    </xf>
    <xf numFmtId="0" fontId="10" fillId="37" borderId="49" xfId="0" applyFont="1" applyFill="1" applyBorder="1" applyAlignment="1">
      <alignment horizontal="center" vertical="center" wrapText="1"/>
    </xf>
    <xf numFmtId="0" fontId="10" fillId="37" borderId="33" xfId="0" applyFont="1" applyFill="1" applyBorder="1" applyAlignment="1">
      <alignment horizontal="center" vertical="center" wrapText="1"/>
    </xf>
    <xf numFmtId="0" fontId="10" fillId="37" borderId="36" xfId="0" applyFont="1" applyFill="1" applyBorder="1" applyAlignment="1">
      <alignment horizontal="center" vertical="center" wrapText="1"/>
    </xf>
    <xf numFmtId="0" fontId="4" fillId="3" borderId="0" xfId="0" applyFont="1" applyFill="1" applyAlignment="1">
      <alignment horizontal="left" vertical="center" wrapText="1"/>
    </xf>
    <xf numFmtId="0" fontId="52" fillId="12" borderId="38" xfId="0" applyFont="1" applyFill="1" applyBorder="1" applyAlignment="1">
      <alignment horizontal="center" vertical="center"/>
    </xf>
    <xf numFmtId="0" fontId="58" fillId="2" borderId="0" xfId="0" applyFont="1" applyFill="1" applyAlignment="1">
      <alignment horizontal="left" vertical="center" wrapText="1"/>
    </xf>
    <xf numFmtId="0" fontId="4" fillId="3" borderId="38" xfId="0" applyFont="1" applyFill="1" applyBorder="1" applyAlignment="1">
      <alignment horizontal="left" vertical="top" wrapText="1"/>
    </xf>
    <xf numFmtId="0" fontId="7" fillId="3" borderId="0" xfId="0" applyFont="1" applyFill="1" applyAlignment="1">
      <alignment horizontal="left" vertical="center" wrapText="1" indent="2"/>
    </xf>
    <xf numFmtId="0" fontId="7" fillId="3" borderId="0" xfId="0" applyFont="1" applyFill="1" applyAlignment="1">
      <alignment horizontal="left" vertical="top" wrapText="1" indent="2"/>
    </xf>
    <xf numFmtId="0" fontId="8" fillId="3" borderId="0" xfId="0" applyFont="1" applyFill="1" applyAlignment="1">
      <alignment horizontal="left" vertical="top" wrapText="1"/>
    </xf>
  </cellXfs>
  <cellStyles count="6">
    <cellStyle name="Comma [0]" xfId="1" builtinId="6"/>
    <cellStyle name="Hyperlink" xfId="3" builtinId="8"/>
    <cellStyle name="Millares [0] 2" xfId="5" xr:uid="{08A9EF56-9783-8D41-8247-D6A9C145BCBE}"/>
    <cellStyle name="Normal" xfId="0" builtinId="0"/>
    <cellStyle name="Normal_Desesta. 4-13 2" xfId="4" xr:uid="{0E7628BC-78FE-E149-A9E6-61262F4B008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rgbClr val="003E6B"/>
                </a:solidFill>
                <a:latin typeface="Helvetica" pitchFamily="2" charset="0"/>
                <a:ea typeface="+mn-ea"/>
                <a:cs typeface="+mn-cs"/>
              </a:defRPr>
            </a:pPr>
            <a:r>
              <a:rPr lang="en-US" sz="1600" b="1"/>
              <a:t>Variación de la deuda</a:t>
            </a:r>
          </a:p>
          <a:p>
            <a:pPr>
              <a:defRPr/>
            </a:pPr>
            <a:r>
              <a:rPr lang="en-US"/>
              <a:t>(% del PIB)</a:t>
            </a:r>
          </a:p>
        </c:rich>
      </c:tx>
      <c:overlay val="0"/>
      <c:spPr>
        <a:noFill/>
        <a:ln>
          <a:noFill/>
        </a:ln>
        <a:effectLst/>
      </c:spPr>
      <c:txPr>
        <a:bodyPr rot="0" spcFirstLastPara="1" vertOverflow="ellipsis" vert="horz" wrap="square" anchor="ctr" anchorCtr="1"/>
        <a:lstStyle/>
        <a:p>
          <a:pPr>
            <a:defRPr sz="1440" b="0" i="0" u="none" strike="noStrike" kern="1200" spc="0" baseline="0">
              <a:solidFill>
                <a:srgbClr val="003E6B"/>
              </a:solidFill>
              <a:latin typeface="Helvetica" pitchFamily="2" charset="0"/>
              <a:ea typeface="+mn-ea"/>
              <a:cs typeface="+mn-cs"/>
            </a:defRPr>
          </a:pPr>
          <a:endParaRPr lang="en-CO"/>
        </a:p>
      </c:txPr>
    </c:title>
    <c:autoTitleDeleted val="0"/>
    <c:plotArea>
      <c:layout>
        <c:manualLayout>
          <c:layoutTarget val="inner"/>
          <c:xMode val="edge"/>
          <c:yMode val="edge"/>
          <c:x val="2.6326510895129995E-2"/>
          <c:y val="0.1085303893637227"/>
          <c:w val="0.96231241447245008"/>
          <c:h val="0.57019435491797632"/>
        </c:manualLayout>
      </c:layout>
      <c:barChart>
        <c:barDir val="col"/>
        <c:grouping val="stacked"/>
        <c:varyColors val="0"/>
        <c:ser>
          <c:idx val="2"/>
          <c:order val="1"/>
          <c:tx>
            <c:strRef>
              <c:f>'Deuda GNC'!$A$136</c:f>
              <c:strCache>
                <c:ptCount val="1"/>
                <c:pt idx="0">
                  <c:v>Intereses</c:v>
                </c:pt>
              </c:strCache>
            </c:strRef>
          </c:tx>
          <c:spPr>
            <a:solidFill>
              <a:srgbClr val="4074C8"/>
            </a:solidFill>
            <a:ln>
              <a:noFill/>
            </a:ln>
            <a:effectLst/>
          </c:spPr>
          <c:invertIfNegative val="0"/>
          <c:cat>
            <c:numRef>
              <c:f>'Deuda GNC'!$C$129:$AK$129</c:f>
              <c:numCache>
                <c:formatCode>0</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'Deuda GNC'!$C$136:$AK$136</c:f>
              <c:numCache>
                <c:formatCode>0.0</c:formatCode>
                <c:ptCount val="35"/>
                <c:pt idx="0">
                  <c:v>4.0220552180924694</c:v>
                </c:pt>
                <c:pt idx="1">
                  <c:v>3.4884419140284653</c:v>
                </c:pt>
                <c:pt idx="2">
                  <c:v>3.4817770715858862</c:v>
                </c:pt>
                <c:pt idx="3">
                  <c:v>3.8635853265282813</c:v>
                </c:pt>
                <c:pt idx="4">
                  <c:v>3.6889463757557364</c:v>
                </c:pt>
                <c:pt idx="5">
                  <c:v>3.1636675900720972</c:v>
                </c:pt>
                <c:pt idx="6">
                  <c:v>3.7059814206696462</c:v>
                </c:pt>
                <c:pt idx="7">
                  <c:v>3.6952038922550057</c:v>
                </c:pt>
                <c:pt idx="8">
                  <c:v>3.2243999238009122</c:v>
                </c:pt>
                <c:pt idx="9">
                  <c:v>3.0813880956873994</c:v>
                </c:pt>
                <c:pt idx="10">
                  <c:v>2.7456910567919648</c:v>
                </c:pt>
                <c:pt idx="11">
                  <c:v>2.783272428165958</c:v>
                </c:pt>
                <c:pt idx="12">
                  <c:v>2.5878477026723643</c:v>
                </c:pt>
                <c:pt idx="13">
                  <c:v>2.2907805009704041</c:v>
                </c:pt>
                <c:pt idx="14">
                  <c:v>2.1950528495906445</c:v>
                </c:pt>
                <c:pt idx="15">
                  <c:v>2.4618538603621491</c:v>
                </c:pt>
                <c:pt idx="16">
                  <c:v>2.9217212626607836</c:v>
                </c:pt>
                <c:pt idx="17">
                  <c:v>2.9206613627926137</c:v>
                </c:pt>
                <c:pt idx="18">
                  <c:v>2.8204603196653513</c:v>
                </c:pt>
                <c:pt idx="19">
                  <c:v>2.9111823821445926</c:v>
                </c:pt>
                <c:pt idx="20">
                  <c:v>2.8364401603088467</c:v>
                </c:pt>
                <c:pt idx="21">
                  <c:v>3.3915171245432409</c:v>
                </c:pt>
                <c:pt idx="22">
                  <c:v>4.3640938856614353</c:v>
                </c:pt>
                <c:pt idx="23">
                  <c:v>3.8226172649332133</c:v>
                </c:pt>
                <c:pt idx="24">
                  <c:v>3.9704708516313283</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A9BA-7D43-948A-D060B35BBB4D}"/>
            </c:ext>
          </c:extLst>
        </c:ser>
        <c:ser>
          <c:idx val="3"/>
          <c:order val="2"/>
          <c:tx>
            <c:strRef>
              <c:f>'Deuda GNC'!$A$133</c:f>
              <c:strCache>
                <c:ptCount val="1"/>
                <c:pt idx="0">
                  <c:v>Inflación</c:v>
                </c:pt>
              </c:strCache>
            </c:strRef>
          </c:tx>
          <c:spPr>
            <a:solidFill>
              <a:schemeClr val="accent4"/>
            </a:solidFill>
            <a:ln>
              <a:noFill/>
            </a:ln>
            <a:effectLst/>
          </c:spPr>
          <c:invertIfNegative val="0"/>
          <c:cat>
            <c:numRef>
              <c:f>'Deuda GNC'!$C$129:$AK$129</c:f>
              <c:numCache>
                <c:formatCode>0</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'Deuda GNC'!$C$133:$AK$133</c:f>
              <c:numCache>
                <c:formatCode>0.0</c:formatCode>
                <c:ptCount val="35"/>
                <c:pt idx="0">
                  <c:v>-2.6502302399896553</c:v>
                </c:pt>
                <c:pt idx="1">
                  <c:v>-2.5564534618878683</c:v>
                </c:pt>
                <c:pt idx="2">
                  <c:v>-2.5411917257142411</c:v>
                </c:pt>
                <c:pt idx="3">
                  <c:v>-2.8219725578163031</c:v>
                </c:pt>
                <c:pt idx="4">
                  <c:v>-2.3541759838581733</c:v>
                </c:pt>
                <c:pt idx="5">
                  <c:v>-1.9190887104469911</c:v>
                </c:pt>
                <c:pt idx="6">
                  <c:v>-1.7333949000564699</c:v>
                </c:pt>
                <c:pt idx="7">
                  <c:v>-2.0591439032456962</c:v>
                </c:pt>
                <c:pt idx="8">
                  <c:v>-2.547841063663641</c:v>
                </c:pt>
                <c:pt idx="9">
                  <c:v>-0.69200745544498021</c:v>
                </c:pt>
                <c:pt idx="10">
                  <c:v>-1.1233627630799976</c:v>
                </c:pt>
                <c:pt idx="11">
                  <c:v>-1.3290857795281841</c:v>
                </c:pt>
                <c:pt idx="12">
                  <c:v>-0.81925189961014189</c:v>
                </c:pt>
                <c:pt idx="13">
                  <c:v>-0.63121905872424844</c:v>
                </c:pt>
                <c:pt idx="14">
                  <c:v>-1.2070858471682147</c:v>
                </c:pt>
                <c:pt idx="15">
                  <c:v>-2.3276121679914663</c:v>
                </c:pt>
                <c:pt idx="16">
                  <c:v>-2.271310859627885</c:v>
                </c:pt>
                <c:pt idx="17">
                  <c:v>-1.6961576564567007</c:v>
                </c:pt>
                <c:pt idx="18">
                  <c:v>-1.3494671659577731</c:v>
                </c:pt>
                <c:pt idx="19">
                  <c:v>-1.6965906433440783</c:v>
                </c:pt>
                <c:pt idx="20">
                  <c:v>-0.76672371711133125</c:v>
                </c:pt>
                <c:pt idx="21">
                  <c:v>-3.2298995895891509</c:v>
                </c:pt>
                <c:pt idx="22">
                  <c:v>-6.9653716451564973</c:v>
                </c:pt>
                <c:pt idx="23">
                  <c:v>-4.9205278553248597</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1-A9BA-7D43-948A-D060B35BBB4D}"/>
            </c:ext>
          </c:extLst>
        </c:ser>
        <c:ser>
          <c:idx val="4"/>
          <c:order val="3"/>
          <c:tx>
            <c:strRef>
              <c:f>'Deuda GNC'!$A$134</c:f>
              <c:strCache>
                <c:ptCount val="1"/>
                <c:pt idx="0">
                  <c:v>Tasa de cambio</c:v>
                </c:pt>
              </c:strCache>
            </c:strRef>
          </c:tx>
          <c:spPr>
            <a:solidFill>
              <a:srgbClr val="7030A0"/>
            </a:solidFill>
            <a:ln>
              <a:noFill/>
            </a:ln>
            <a:effectLst/>
          </c:spPr>
          <c:invertIfNegative val="0"/>
          <c:cat>
            <c:numRef>
              <c:f>'Deuda GNC'!$C$129:$AK$129</c:f>
              <c:numCache>
                <c:formatCode>0</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'Deuda GNC'!$C$134:$AK$134</c:f>
              <c:numCache>
                <c:formatCode>0.0</c:formatCode>
                <c:ptCount val="35"/>
                <c:pt idx="0">
                  <c:v>2.6770709024924852</c:v>
                </c:pt>
                <c:pt idx="1">
                  <c:v>0.42004020145127363</c:v>
                </c:pt>
                <c:pt idx="2">
                  <c:v>4.3227740905455505</c:v>
                </c:pt>
                <c:pt idx="3">
                  <c:v>-0.62716387246099292</c:v>
                </c:pt>
                <c:pt idx="4">
                  <c:v>-2.815938162688632</c:v>
                </c:pt>
                <c:pt idx="5">
                  <c:v>-0.73015437476819223</c:v>
                </c:pt>
                <c:pt idx="6">
                  <c:v>-0.25563141791198307</c:v>
                </c:pt>
                <c:pt idx="7">
                  <c:v>-1.2100886539127109</c:v>
                </c:pt>
                <c:pt idx="8">
                  <c:v>1.2006890210183903</c:v>
                </c:pt>
                <c:pt idx="9">
                  <c:v>-1.0326544711963956</c:v>
                </c:pt>
                <c:pt idx="10">
                  <c:v>-0.68823134700648114</c:v>
                </c:pt>
                <c:pt idx="11">
                  <c:v>0.14986895486315879</c:v>
                </c:pt>
                <c:pt idx="12">
                  <c:v>-0.87983682780663175</c:v>
                </c:pt>
                <c:pt idx="13">
                  <c:v>0.77836599968149467</c:v>
                </c:pt>
                <c:pt idx="14">
                  <c:v>2.1959174121185301</c:v>
                </c:pt>
                <c:pt idx="15">
                  <c:v>3.4974923986724824</c:v>
                </c:pt>
                <c:pt idx="16">
                  <c:v>-0.70670619557999126</c:v>
                </c:pt>
                <c:pt idx="17">
                  <c:v>-8.0609431817006527E-2</c:v>
                </c:pt>
                <c:pt idx="18">
                  <c:v>1.2941721086968105</c:v>
                </c:pt>
                <c:pt idx="19">
                  <c:v>0.12962341504587571</c:v>
                </c:pt>
                <c:pt idx="20">
                  <c:v>0.81245914944355591</c:v>
                </c:pt>
                <c:pt idx="21">
                  <c:v>3.0699221164435393</c:v>
                </c:pt>
                <c:pt idx="22">
                  <c:v>4.2615416088328644</c:v>
                </c:pt>
                <c:pt idx="23">
                  <c:v>-4.6827524696771805</c:v>
                </c:pt>
                <c:pt idx="24">
                  <c:v>-19.504980712772131</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2-A9BA-7D43-948A-D060B35BBB4D}"/>
            </c:ext>
          </c:extLst>
        </c:ser>
        <c:ser>
          <c:idx val="5"/>
          <c:order val="4"/>
          <c:tx>
            <c:strRef>
              <c:f>'Deuda GNC'!$A$132</c:f>
              <c:strCache>
                <c:ptCount val="1"/>
                <c:pt idx="0">
                  <c:v>Crecimiento real</c:v>
                </c:pt>
              </c:strCache>
            </c:strRef>
          </c:tx>
          <c:spPr>
            <a:solidFill>
              <a:schemeClr val="accent6"/>
            </a:solidFill>
            <a:ln>
              <a:noFill/>
            </a:ln>
            <a:effectLst/>
          </c:spPr>
          <c:invertIfNegative val="0"/>
          <c:cat>
            <c:numRef>
              <c:f>'Deuda GNC'!$C$129:$AK$129</c:f>
              <c:numCache>
                <c:formatCode>0</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'Deuda GNC'!$C$132:$AK$132</c:f>
              <c:numCache>
                <c:formatCode>0.0</c:formatCode>
                <c:ptCount val="35"/>
                <c:pt idx="0">
                  <c:v>-0.2920148822530747</c:v>
                </c:pt>
                <c:pt idx="1">
                  <c:v>-0.9642430489193774</c:v>
                </c:pt>
                <c:pt idx="2">
                  <c:v>-0.70969348391845111</c:v>
                </c:pt>
                <c:pt idx="3">
                  <c:v>-1.8962913657554161</c:v>
                </c:pt>
                <c:pt idx="4">
                  <c:v>-1.7467830143829257</c:v>
                </c:pt>
                <c:pt idx="5">
                  <c:v>-1.8079953172090224</c:v>
                </c:pt>
                <c:pt idx="6">
                  <c:v>-2.4364203547700676</c:v>
                </c:pt>
                <c:pt idx="7">
                  <c:v>-2.2827468920730603</c:v>
                </c:pt>
                <c:pt idx="8">
                  <c:v>-1.055428223264081</c:v>
                </c:pt>
                <c:pt idx="9">
                  <c:v>-0.38952729138351144</c:v>
                </c:pt>
                <c:pt idx="10">
                  <c:v>-1.5236878366789979</c:v>
                </c:pt>
                <c:pt idx="11">
                  <c:v>-2.316920508874011</c:v>
                </c:pt>
                <c:pt idx="12">
                  <c:v>-1.2642375645752906</c:v>
                </c:pt>
                <c:pt idx="13">
                  <c:v>-1.5888779135403941</c:v>
                </c:pt>
                <c:pt idx="14">
                  <c:v>-1.4199194316539143</c:v>
                </c:pt>
                <c:pt idx="15">
                  <c:v>-0.98709884689345029</c:v>
                </c:pt>
                <c:pt idx="16">
                  <c:v>-0.80767883492090331</c:v>
                </c:pt>
                <c:pt idx="17">
                  <c:v>-0.5561780042589376</c:v>
                </c:pt>
                <c:pt idx="18">
                  <c:v>-1.06099130290836</c:v>
                </c:pt>
                <c:pt idx="19">
                  <c:v>-1.3788958058472127</c:v>
                </c:pt>
                <c:pt idx="20">
                  <c:v>3.7237933675547881</c:v>
                </c:pt>
                <c:pt idx="21">
                  <c:v>-5.7029284241699365</c:v>
                </c:pt>
                <c:pt idx="22">
                  <c:v>-3.6067560012466298</c:v>
                </c:pt>
                <c:pt idx="23">
                  <c:v>-0.32170226114272787</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3-A9BA-7D43-948A-D060B35BBB4D}"/>
            </c:ext>
          </c:extLst>
        </c:ser>
        <c:ser>
          <c:idx val="6"/>
          <c:order val="5"/>
          <c:tx>
            <c:strRef>
              <c:f>'Deuda GNC'!$A$135</c:f>
              <c:strCache>
                <c:ptCount val="1"/>
                <c:pt idx="0">
                  <c:v>Balance primario</c:v>
                </c:pt>
              </c:strCache>
            </c:strRef>
          </c:tx>
          <c:spPr>
            <a:solidFill>
              <a:schemeClr val="accent2"/>
            </a:solidFill>
            <a:ln>
              <a:noFill/>
            </a:ln>
            <a:effectLst/>
          </c:spPr>
          <c:invertIfNegative val="0"/>
          <c:cat>
            <c:numRef>
              <c:f>'Deuda GNC'!$C$129:$AK$129</c:f>
              <c:numCache>
                <c:formatCode>0</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'Deuda GNC'!$C$135:$AK$135</c:f>
              <c:numCache>
                <c:formatCode>0.0</c:formatCode>
                <c:ptCount val="35"/>
                <c:pt idx="0">
                  <c:v>1.4893641356065417</c:v>
                </c:pt>
                <c:pt idx="1">
                  <c:v>1.4091481238925774</c:v>
                </c:pt>
                <c:pt idx="2">
                  <c:v>1.7310970318957071</c:v>
                </c:pt>
                <c:pt idx="3">
                  <c:v>0.48877448213906943</c:v>
                </c:pt>
                <c:pt idx="4">
                  <c:v>0.93683306688121304</c:v>
                </c:pt>
                <c:pt idx="5">
                  <c:v>0.88562840036689061</c:v>
                </c:pt>
                <c:pt idx="6">
                  <c:v>-0.23472553640037341</c:v>
                </c:pt>
                <c:pt idx="7">
                  <c:v>-1.002239972811533</c:v>
                </c:pt>
                <c:pt idx="8">
                  <c:v>-0.90185179294328655</c:v>
                </c:pt>
                <c:pt idx="9">
                  <c:v>1.1096844851208436</c:v>
                </c:pt>
                <c:pt idx="10">
                  <c:v>1.1344431298088549</c:v>
                </c:pt>
                <c:pt idx="11">
                  <c:v>0.11444338688612456</c:v>
                </c:pt>
                <c:pt idx="12">
                  <c:v>-0.24172927284944751</c:v>
                </c:pt>
                <c:pt idx="13">
                  <c:v>3.9480641665590607E-2</c:v>
                </c:pt>
                <c:pt idx="14">
                  <c:v>0.18048234968856788</c:v>
                </c:pt>
                <c:pt idx="15">
                  <c:v>0.45020642068323613</c:v>
                </c:pt>
                <c:pt idx="16">
                  <c:v>1.1048773145732005</c:v>
                </c:pt>
                <c:pt idx="17">
                  <c:v>0.76249404558689915</c:v>
                </c:pt>
                <c:pt idx="18">
                  <c:v>0.34164852666381285</c:v>
                </c:pt>
                <c:pt idx="19">
                  <c:v>-0.44826667284460664</c:v>
                </c:pt>
                <c:pt idx="20">
                  <c:v>4.9538958629533534</c:v>
                </c:pt>
                <c:pt idx="21">
                  <c:v>3.6451099520905785</c:v>
                </c:pt>
                <c:pt idx="22">
                  <c:v>0.98560702258717359</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4-A9BA-7D43-948A-D060B35BBB4D}"/>
            </c:ext>
          </c:extLst>
        </c:ser>
        <c:ser>
          <c:idx val="1"/>
          <c:order val="6"/>
          <c:tx>
            <c:strRef>
              <c:f>'Deuda GNC'!$A$137</c:f>
              <c:strCache>
                <c:ptCount val="1"/>
                <c:pt idx="0">
                  <c:v>Flujo de activos financieros</c:v>
                </c:pt>
              </c:strCache>
            </c:strRef>
          </c:tx>
          <c:spPr>
            <a:solidFill>
              <a:schemeClr val="bg1">
                <a:lumMod val="65000"/>
              </a:schemeClr>
            </a:solidFill>
            <a:ln>
              <a:noFill/>
            </a:ln>
            <a:effectLst/>
          </c:spPr>
          <c:invertIfNegative val="0"/>
          <c:val>
            <c:numRef>
              <c:f>'Deuda GNC'!$C$137:$AK$137</c:f>
              <c:numCache>
                <c:formatCode>0.0</c:formatCode>
                <c:ptCount val="35"/>
                <c:pt idx="0">
                  <c:v>-0.44891249591907312</c:v>
                </c:pt>
                <c:pt idx="1">
                  <c:v>1.3024388374118714</c:v>
                </c:pt>
                <c:pt idx="2">
                  <c:v>-1.5951945447949436</c:v>
                </c:pt>
                <c:pt idx="3">
                  <c:v>0.19996590464633146</c:v>
                </c:pt>
                <c:pt idx="4">
                  <c:v>0.67741977416033894</c:v>
                </c:pt>
                <c:pt idx="5">
                  <c:v>0.43502589941204772</c:v>
                </c:pt>
                <c:pt idx="6">
                  <c:v>-0.16726708940977719</c:v>
                </c:pt>
                <c:pt idx="7">
                  <c:v>-1.2680786539054776</c:v>
                </c:pt>
                <c:pt idx="8">
                  <c:v>1.0044681270814593E-2</c:v>
                </c:pt>
                <c:pt idx="9">
                  <c:v>0.5597847994931977</c:v>
                </c:pt>
                <c:pt idx="10">
                  <c:v>8.7567225005138249E-2</c:v>
                </c:pt>
                <c:pt idx="11">
                  <c:v>0.44520446137245107</c:v>
                </c:pt>
                <c:pt idx="12">
                  <c:v>-0.85996465402489553</c:v>
                </c:pt>
                <c:pt idx="13">
                  <c:v>1.4280717762755282</c:v>
                </c:pt>
                <c:pt idx="14">
                  <c:v>0.73237276800721585</c:v>
                </c:pt>
                <c:pt idx="15">
                  <c:v>-0.35017032603763765</c:v>
                </c:pt>
                <c:pt idx="16">
                  <c:v>-0.38016582965559831</c:v>
                </c:pt>
                <c:pt idx="17">
                  <c:v>0.13409531184287893</c:v>
                </c:pt>
                <c:pt idx="18">
                  <c:v>0.39136177448690779</c:v>
                </c:pt>
                <c:pt idx="19">
                  <c:v>-1.0305181076892054</c:v>
                </c:pt>
                <c:pt idx="20">
                  <c:v>2.4258683504866889</c:v>
                </c:pt>
                <c:pt idx="21">
                  <c:v>-1.4591913396865213</c:v>
                </c:pt>
                <c:pt idx="22">
                  <c:v>0.2747448122172762</c:v>
                </c:pt>
                <c:pt idx="23">
                  <c:v>-3.1963626726928056</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5-A9BA-7D43-948A-D060B35BBB4D}"/>
            </c:ext>
          </c:extLst>
        </c:ser>
        <c:ser>
          <c:idx val="7"/>
          <c:order val="7"/>
          <c:tx>
            <c:strRef>
              <c:f>'Deuda GNC'!$A$138</c:f>
              <c:strCache>
                <c:ptCount val="1"/>
                <c:pt idx="0">
                  <c:v>Ajuste (flujo-saldo)</c:v>
                </c:pt>
              </c:strCache>
            </c:strRef>
          </c:tx>
          <c:spPr>
            <a:solidFill>
              <a:srgbClr val="002060"/>
            </a:solidFill>
            <a:ln>
              <a:noFill/>
            </a:ln>
            <a:effectLst/>
          </c:spPr>
          <c:invertIfNegative val="0"/>
          <c:cat>
            <c:numRef>
              <c:f>'Deuda GNC'!$C$129:$AK$129</c:f>
              <c:numCache>
                <c:formatCode>0</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'Deuda GNC'!$C$138:$AK$138</c:f>
              <c:numCache>
                <c:formatCode>0.0</c:formatCode>
                <c:ptCount val="35"/>
                <c:pt idx="0">
                  <c:v>-1.7605844503973458</c:v>
                </c:pt>
                <c:pt idx="1">
                  <c:v>-0.19463206013536194</c:v>
                </c:pt>
                <c:pt idx="2">
                  <c:v>2.7188432758820911</c:v>
                </c:pt>
                <c:pt idx="3">
                  <c:v>-0.32073675861948348</c:v>
                </c:pt>
                <c:pt idx="4">
                  <c:v>-2.1213407277366283</c:v>
                </c:pt>
                <c:pt idx="5">
                  <c:v>-1.0299416040715175</c:v>
                </c:pt>
                <c:pt idx="6">
                  <c:v>-1.101901574434236</c:v>
                </c:pt>
                <c:pt idx="7">
                  <c:v>1.6546674728013215</c:v>
                </c:pt>
                <c:pt idx="8">
                  <c:v>-0.41606928823836675</c:v>
                </c:pt>
                <c:pt idx="9">
                  <c:v>-1.3507818867434089</c:v>
                </c:pt>
                <c:pt idx="10">
                  <c:v>-0.18632887888454497</c:v>
                </c:pt>
                <c:pt idx="11">
                  <c:v>-2.4447401209062463</c:v>
                </c:pt>
                <c:pt idx="12">
                  <c:v>0.25030703299555523</c:v>
                </c:pt>
                <c:pt idx="13">
                  <c:v>-1.2973124130307871</c:v>
                </c:pt>
                <c:pt idx="14">
                  <c:v>-0.15550861570425578</c:v>
                </c:pt>
                <c:pt idx="15">
                  <c:v>2.3188129895499903</c:v>
                </c:pt>
                <c:pt idx="16">
                  <c:v>1.5338988571977512</c:v>
                </c:pt>
                <c:pt idx="17">
                  <c:v>-0.86576906313044044</c:v>
                </c:pt>
                <c:pt idx="18">
                  <c:v>0.12098700881694935</c:v>
                </c:pt>
                <c:pt idx="19">
                  <c:v>3.5590674379640719</c:v>
                </c:pt>
                <c:pt idx="20">
                  <c:v>-1.6736254796593073</c:v>
                </c:pt>
                <c:pt idx="21">
                  <c:v>-0.36085782533434152</c:v>
                </c:pt>
                <c:pt idx="22">
                  <c:v>-1.4254969024000963</c:v>
                </c:pt>
                <c:pt idx="23">
                  <c:v>8.0742480230587397</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6-A9BA-7D43-948A-D060B35BBB4D}"/>
            </c:ext>
          </c:extLst>
        </c:ser>
        <c:dLbls>
          <c:showLegendKey val="0"/>
          <c:showVal val="0"/>
          <c:showCatName val="0"/>
          <c:showSerName val="0"/>
          <c:showPercent val="0"/>
          <c:showBubbleSize val="0"/>
        </c:dLbls>
        <c:gapWidth val="30"/>
        <c:overlap val="100"/>
        <c:axId val="1217980096"/>
        <c:axId val="1244694672"/>
      </c:barChart>
      <c:lineChart>
        <c:grouping val="standard"/>
        <c:varyColors val="0"/>
        <c:ser>
          <c:idx val="0"/>
          <c:order val="0"/>
          <c:tx>
            <c:strRef>
              <c:f>'Deuda GNC'!$A$130</c:f>
              <c:strCache>
                <c:ptCount val="1"/>
                <c:pt idx="0">
                  <c:v>Variación total de la deuda</c:v>
                </c:pt>
              </c:strCache>
            </c:strRef>
          </c:tx>
          <c:spPr>
            <a:ln w="22225" cap="rnd">
              <a:solidFill>
                <a:schemeClr val="tx1"/>
              </a:solidFill>
              <a:round/>
            </a:ln>
            <a:effectLst/>
          </c:spPr>
          <c:marker>
            <c:symbol val="circle"/>
            <c:size val="16"/>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Helvetica" pitchFamily="2" charset="0"/>
                    <a:ea typeface="+mn-ea"/>
                    <a:cs typeface="+mn-cs"/>
                  </a:defRPr>
                </a:pPr>
                <a:endParaRPr lang="en-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'Deuda GNC'!$C$130:$AK$130</c:f>
              <c:numCache>
                <c:formatCode>0.0</c:formatCode>
                <c:ptCount val="35"/>
                <c:pt idx="0">
                  <c:v>3.0367481876323481</c:v>
                </c:pt>
                <c:pt idx="1">
                  <c:v>2.9047405058415805</c:v>
                </c:pt>
                <c:pt idx="2">
                  <c:v>7.4084117154815985</c:v>
                </c:pt>
                <c:pt idx="3">
                  <c:v>-1.113838841338513</c:v>
                </c:pt>
                <c:pt idx="4">
                  <c:v>-3.73503867186907</c:v>
                </c:pt>
                <c:pt idx="5">
                  <c:v>-1.0028581166446884</c:v>
                </c:pt>
                <c:pt idx="6">
                  <c:v>-2.2233594523132609</c:v>
                </c:pt>
                <c:pt idx="7">
                  <c:v>-2.4724267108921509</c:v>
                </c:pt>
                <c:pt idx="8">
                  <c:v>-0.48605674201925808</c:v>
                </c:pt>
                <c:pt idx="9">
                  <c:v>1.2858862755331444</c:v>
                </c:pt>
                <c:pt idx="10">
                  <c:v>0.44609058595593609</c:v>
                </c:pt>
                <c:pt idx="11">
                  <c:v>-2.5979571780207493</c:v>
                </c:pt>
                <c:pt idx="12">
                  <c:v>-1.2268654831984875</c:v>
                </c:pt>
                <c:pt idx="13">
                  <c:v>1.019289533297588</c:v>
                </c:pt>
                <c:pt idx="14">
                  <c:v>2.5213114848785736</c:v>
                </c:pt>
                <c:pt idx="15">
                  <c:v>5.0634843283453037</c:v>
                </c:pt>
                <c:pt idx="16">
                  <c:v>1.3946357146473574</c:v>
                </c:pt>
                <c:pt idx="17">
                  <c:v>0.61853656455930661</c:v>
                </c:pt>
                <c:pt idx="18">
                  <c:v>2.5581712694636991</c:v>
                </c:pt>
                <c:pt idx="19">
                  <c:v>2.045602005429437</c:v>
                </c:pt>
                <c:pt idx="20">
                  <c:v>12.312107693976593</c:v>
                </c:pt>
                <c:pt idx="21">
                  <c:v>-0.64632798570259098</c:v>
                </c:pt>
                <c:pt idx="22">
                  <c:v>-2.1116372195044733</c:v>
                </c:pt>
                <c:pt idx="23">
                  <c:v>-1.2244799708456213</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7-A9BA-7D43-948A-D060B35BBB4D}"/>
            </c:ext>
          </c:extLst>
        </c:ser>
        <c:dLbls>
          <c:showLegendKey val="0"/>
          <c:showVal val="0"/>
          <c:showCatName val="0"/>
          <c:showSerName val="0"/>
          <c:showPercent val="0"/>
          <c:showBubbleSize val="0"/>
        </c:dLbls>
        <c:marker val="1"/>
        <c:smooth val="0"/>
        <c:axId val="1217980096"/>
        <c:axId val="1244694672"/>
      </c:lineChart>
      <c:catAx>
        <c:axId val="1217980096"/>
        <c:scaling>
          <c:orientation val="minMax"/>
        </c:scaling>
        <c:delete val="0"/>
        <c:axPos val="b"/>
        <c:numFmt formatCode="0"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solidFill>
                <a:latin typeface="Helvetica" pitchFamily="2" charset="0"/>
                <a:ea typeface="+mn-ea"/>
                <a:cs typeface="+mn-cs"/>
              </a:defRPr>
            </a:pPr>
            <a:endParaRPr lang="en-CO"/>
          </a:p>
        </c:txPr>
        <c:crossAx val="1244694672"/>
        <c:crosses val="autoZero"/>
        <c:auto val="1"/>
        <c:lblAlgn val="ctr"/>
        <c:lblOffset val="100"/>
        <c:noMultiLvlLbl val="0"/>
      </c:catAx>
      <c:valAx>
        <c:axId val="1244694672"/>
        <c:scaling>
          <c:orientation val="minMax"/>
          <c:max val="15"/>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1217980096"/>
        <c:crosses val="autoZero"/>
        <c:crossBetween val="between"/>
      </c:valAx>
      <c:spPr>
        <a:noFill/>
        <a:ln>
          <a:noFill/>
        </a:ln>
        <a:effectLst/>
      </c:spPr>
    </c:plotArea>
    <c:legend>
      <c:legendPos val="b"/>
      <c:legendEntry>
        <c:idx val="7"/>
        <c:txPr>
          <a:bodyPr rot="0" spcFirstLastPara="1" vertOverflow="ellipsis" vert="horz" wrap="square" anchor="ctr" anchorCtr="1"/>
          <a:lstStyle/>
          <a:p>
            <a:pPr>
              <a:defRPr sz="1200" b="1" i="0" u="none" strike="noStrike" kern="1200" baseline="0">
                <a:solidFill>
                  <a:schemeClr val="tx1"/>
                </a:solidFill>
                <a:latin typeface="Helvetica" pitchFamily="2" charset="0"/>
                <a:ea typeface="+mn-ea"/>
                <a:cs typeface="+mn-cs"/>
              </a:defRPr>
            </a:pPr>
            <a:endParaRPr lang="en-CO"/>
          </a:p>
        </c:txPr>
      </c:legendEntry>
      <c:layout>
        <c:manualLayout>
          <c:xMode val="edge"/>
          <c:yMode val="edge"/>
          <c:x val="1.0610606060606058E-2"/>
          <c:y val="0.8382205626610606"/>
          <c:w val="0.97908539898713898"/>
          <c:h val="0.1617794373389394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3E6B"/>
          </a:solidFill>
          <a:latin typeface="Helvetica" pitchFamily="2" charset="0"/>
        </a:defRPr>
      </a:pPr>
      <a:endParaRPr lang="en-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003E6B"/>
                </a:solidFill>
                <a:latin typeface="Helvetica" pitchFamily="2" charset="0"/>
                <a:ea typeface="+mn-ea"/>
                <a:cs typeface="+mn-cs"/>
              </a:defRPr>
            </a:pPr>
            <a:r>
              <a:rPr lang="es-CO" b="1"/>
              <a:t>Intereses de la</a:t>
            </a:r>
            <a:r>
              <a:rPr lang="es-CO" b="1" baseline="0"/>
              <a:t> deuda</a:t>
            </a:r>
            <a:endParaRPr lang="es-CO" b="1"/>
          </a:p>
          <a:p>
            <a:pPr>
              <a:defRPr sz="1440" b="1" i="0" u="none" strike="noStrike" kern="1200" spc="0" baseline="0">
                <a:solidFill>
                  <a:srgbClr val="003E6B"/>
                </a:solidFill>
                <a:latin typeface="Helvetica" pitchFamily="2" charset="0"/>
                <a:ea typeface="+mn-ea"/>
                <a:cs typeface="+mn-cs"/>
              </a:defRPr>
            </a:pPr>
            <a:r>
              <a:rPr lang="es-CO" b="0"/>
              <a:t>(%</a:t>
            </a:r>
            <a:r>
              <a:rPr lang="es-CO" b="0" baseline="0"/>
              <a:t> del PIB)</a:t>
            </a:r>
            <a:endParaRPr lang="es-CO" b="0"/>
          </a:p>
        </c:rich>
      </c:tx>
      <c:overlay val="0"/>
      <c:spPr>
        <a:noFill/>
        <a:ln>
          <a:noFill/>
        </a:ln>
        <a:effectLst/>
      </c:spPr>
    </c:title>
    <c:autoTitleDeleted val="0"/>
    <c:plotArea>
      <c:layout>
        <c:manualLayout>
          <c:layoutTarget val="inner"/>
          <c:xMode val="edge"/>
          <c:yMode val="edge"/>
          <c:x val="1.7371805555555554E-2"/>
          <c:y val="0.11486424353450606"/>
          <c:w val="0.96988369932340113"/>
          <c:h val="0.66140511573243188"/>
        </c:manualLayout>
      </c:layout>
      <c:lineChart>
        <c:grouping val="standard"/>
        <c:varyColors val="0"/>
        <c:ser>
          <c:idx val="2"/>
          <c:order val="0"/>
          <c:tx>
            <c:v>Interna</c:v>
          </c:tx>
          <c:spPr>
            <a:ln w="22225">
              <a:solidFill>
                <a:srgbClr val="0070C0"/>
              </a:solidFill>
            </a:ln>
          </c:spPr>
          <c:marker>
            <c:symbol val="none"/>
          </c:marker>
          <c:dLbls>
            <c:spPr>
              <a:noFill/>
              <a:ln>
                <a:noFill/>
              </a:ln>
              <a:effectLst/>
            </c:spPr>
            <c:txPr>
              <a:bodyPr wrap="square" lIns="38100" tIns="19050" rIns="38100" bIns="19050" anchor="ctr">
                <a:spAutoFit/>
              </a:bodyPr>
              <a:lstStyle/>
              <a:p>
                <a:pPr>
                  <a:defRPr>
                    <a:solidFill>
                      <a:srgbClr val="0070C0"/>
                    </a:solidFill>
                  </a:defRPr>
                </a:pPr>
                <a:endParaRPr lang="en-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'Deuda GNC'!$C$77:$AK$77</c:f>
              <c:numCache>
                <c:formatCode>yyyy</c:formatCode>
                <c:ptCount val="3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pt idx="29">
                  <c:v>47483</c:v>
                </c:pt>
                <c:pt idx="30">
                  <c:v>47848</c:v>
                </c:pt>
                <c:pt idx="31">
                  <c:v>48213</c:v>
                </c:pt>
                <c:pt idx="32">
                  <c:v>48579</c:v>
                </c:pt>
                <c:pt idx="33">
                  <c:v>48944</c:v>
                </c:pt>
                <c:pt idx="34">
                  <c:v>49309</c:v>
                </c:pt>
              </c:numCache>
            </c:numRef>
          </c:cat>
          <c:val>
            <c:numRef>
              <c:f>'Deuda GNC'!$C$78:$AK$78</c:f>
              <c:numCache>
                <c:formatCode>#,##0.00</c:formatCode>
                <c:ptCount val="35"/>
                <c:pt idx="0">
                  <c:v>2.2102936317681818</c:v>
                </c:pt>
                <c:pt idx="1">
                  <c:v>2.1220614277015515</c:v>
                </c:pt>
                <c:pt idx="2">
                  <c:v>1.9795729565901827</c:v>
                </c:pt>
                <c:pt idx="3">
                  <c:v>2.1885136113586405</c:v>
                </c:pt>
                <c:pt idx="4">
                  <c:v>2.1682264564857578</c:v>
                </c:pt>
                <c:pt idx="5">
                  <c:v>1.8489015138358829</c:v>
                </c:pt>
                <c:pt idx="6">
                  <c:v>2.6239085793490071</c:v>
                </c:pt>
                <c:pt idx="7">
                  <c:v>2.8120315142315051</c:v>
                </c:pt>
                <c:pt idx="8">
                  <c:v>2.455875947433535</c:v>
                </c:pt>
                <c:pt idx="9">
                  <c:v>2.2535537788061388</c:v>
                </c:pt>
                <c:pt idx="10">
                  <c:v>2.0577665430325425</c:v>
                </c:pt>
                <c:pt idx="11">
                  <c:v>2.1373045175408714</c:v>
                </c:pt>
                <c:pt idx="12">
                  <c:v>2.0276500749893733</c:v>
                </c:pt>
                <c:pt idx="13">
                  <c:v>1.7959006620206921</c:v>
                </c:pt>
                <c:pt idx="14">
                  <c:v>1.7346796832174267</c:v>
                </c:pt>
                <c:pt idx="15">
                  <c:v>1.8975015027398858</c:v>
                </c:pt>
                <c:pt idx="16">
                  <c:v>2.2482763274233926</c:v>
                </c:pt>
                <c:pt idx="17">
                  <c:v>2.2062312102160755</c:v>
                </c:pt>
                <c:pt idx="18">
                  <c:v>2.109986306293282</c:v>
                </c:pt>
                <c:pt idx="19">
                  <c:v>2.1879337086123685</c:v>
                </c:pt>
                <c:pt idx="20" formatCode="#,##0.0">
                  <c:v>2.0005795274105109</c:v>
                </c:pt>
                <c:pt idx="21" formatCode="#,##0.0">
                  <c:v>2.5414528219122312</c:v>
                </c:pt>
                <c:pt idx="22" formatCode="#,##0.0">
                  <c:v>3.5639334725040772</c:v>
                </c:pt>
                <c:pt idx="23" formatCode="#,##0.0">
                  <c:v>3.0339188344858399</c:v>
                </c:pt>
                <c:pt idx="24" formatCode="#,##0.0">
                  <c:v>3.9704708516313283</c:v>
                </c:pt>
                <c:pt idx="25" formatCode="#,##0.0">
                  <c:v>0</c:v>
                </c:pt>
                <c:pt idx="26" formatCode="#,##0.0">
                  <c:v>0</c:v>
                </c:pt>
                <c:pt idx="27" formatCode="#,##0.0">
                  <c:v>0</c:v>
                </c:pt>
                <c:pt idx="28" formatCode="#,##0.0">
                  <c:v>0</c:v>
                </c:pt>
                <c:pt idx="29" formatCode="#,##0.0">
                  <c:v>0</c:v>
                </c:pt>
                <c:pt idx="30" formatCode="#,##0.0">
                  <c:v>0</c:v>
                </c:pt>
                <c:pt idx="31" formatCode="#,##0.0">
                  <c:v>0</c:v>
                </c:pt>
                <c:pt idx="32" formatCode="#,##0.0">
                  <c:v>0</c:v>
                </c:pt>
                <c:pt idx="33" formatCode="#,##0.0">
                  <c:v>0</c:v>
                </c:pt>
                <c:pt idx="34" formatCode="#,##0.0">
                  <c:v>0</c:v>
                </c:pt>
              </c:numCache>
            </c:numRef>
          </c:val>
          <c:smooth val="0"/>
          <c:extLst>
            <c:ext xmlns:c16="http://schemas.microsoft.com/office/drawing/2014/chart" uri="{C3380CC4-5D6E-409C-BE32-E72D297353CC}">
              <c16:uniqueId val="{00000000-4994-B14C-98F3-0FCA6D96DDB6}"/>
            </c:ext>
          </c:extLst>
        </c:ser>
        <c:ser>
          <c:idx val="3"/>
          <c:order val="1"/>
          <c:tx>
            <c:v>Externa</c:v>
          </c:tx>
          <c:spPr>
            <a:ln w="22225">
              <a:solidFill>
                <a:srgbClr val="C00000"/>
              </a:solidFill>
            </a:ln>
          </c:spPr>
          <c:marker>
            <c:symbol val="none"/>
          </c:marker>
          <c:dLbls>
            <c:spPr>
              <a:noFill/>
              <a:ln>
                <a:noFill/>
              </a:ln>
              <a:effectLst/>
            </c:spPr>
            <c:txPr>
              <a:bodyPr wrap="square" lIns="38100" tIns="19050" rIns="38100" bIns="19050" anchor="ctr">
                <a:spAutoFit/>
              </a:bodyPr>
              <a:lstStyle/>
              <a:p>
                <a:pPr>
                  <a:defRPr>
                    <a:solidFill>
                      <a:srgbClr val="C00000"/>
                    </a:solidFill>
                  </a:defRPr>
                </a:pPr>
                <a:endParaRPr lang="en-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'Deuda GNC'!$C$77:$AK$77</c:f>
              <c:numCache>
                <c:formatCode>yyyy</c:formatCode>
                <c:ptCount val="3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pt idx="29">
                  <c:v>47483</c:v>
                </c:pt>
                <c:pt idx="30">
                  <c:v>47848</c:v>
                </c:pt>
                <c:pt idx="31">
                  <c:v>48213</c:v>
                </c:pt>
                <c:pt idx="32">
                  <c:v>48579</c:v>
                </c:pt>
                <c:pt idx="33">
                  <c:v>48944</c:v>
                </c:pt>
                <c:pt idx="34">
                  <c:v>49309</c:v>
                </c:pt>
              </c:numCache>
            </c:numRef>
          </c:cat>
          <c:val>
            <c:numRef>
              <c:f>'Deuda GNC'!$C$83:$AK$83</c:f>
              <c:numCache>
                <c:formatCode>#,##0.00</c:formatCode>
                <c:ptCount val="35"/>
                <c:pt idx="0">
                  <c:v>1.1239199990827775</c:v>
                </c:pt>
                <c:pt idx="1">
                  <c:v>1.4216946715108461</c:v>
                </c:pt>
                <c:pt idx="2">
                  <c:v>1.5248112198145853</c:v>
                </c:pt>
                <c:pt idx="3">
                  <c:v>1.6219700216904653</c:v>
                </c:pt>
                <c:pt idx="4">
                  <c:v>1.4280184934916831</c:v>
                </c:pt>
                <c:pt idx="5">
                  <c:v>1.2628013686607062</c:v>
                </c:pt>
                <c:pt idx="6">
                  <c:v>1.0354988045668152</c:v>
                </c:pt>
                <c:pt idx="7">
                  <c:v>0.90046880883996494</c:v>
                </c:pt>
                <c:pt idx="8">
                  <c:v>0.76843379596683437</c:v>
                </c:pt>
                <c:pt idx="9">
                  <c:v>0.76676521648671092</c:v>
                </c:pt>
                <c:pt idx="10">
                  <c:v>0.67116446628727688</c:v>
                </c:pt>
                <c:pt idx="11">
                  <c:v>0.57637437665366875</c:v>
                </c:pt>
                <c:pt idx="12">
                  <c:v>0.53081042058811001</c:v>
                </c:pt>
                <c:pt idx="13">
                  <c:v>0.49560643974568802</c:v>
                </c:pt>
                <c:pt idx="14">
                  <c:v>0.49095508911681307</c:v>
                </c:pt>
                <c:pt idx="15">
                  <c:v>0.66817794800230979</c:v>
                </c:pt>
                <c:pt idx="16">
                  <c:v>0.69016321675165049</c:v>
                </c:pt>
                <c:pt idx="17">
                  <c:v>0.68543471082861585</c:v>
                </c:pt>
                <c:pt idx="18">
                  <c:v>0.67137165513444563</c:v>
                </c:pt>
                <c:pt idx="19">
                  <c:v>0.71757703418527619</c:v>
                </c:pt>
                <c:pt idx="20" formatCode="#,##0.0">
                  <c:v>0.8394882245626839</c:v>
                </c:pt>
                <c:pt idx="21" formatCode="#,##0.0">
                  <c:v>0.78556445579170908</c:v>
                </c:pt>
                <c:pt idx="22" formatCode="#,##0.0">
                  <c:v>0.75498869434282045</c:v>
                </c:pt>
                <c:pt idx="23" formatCode="#,##0.0">
                  <c:v>0.87510108596210501</c:v>
                </c:pt>
                <c:pt idx="24" formatCode="#,##0.0">
                  <c:v>0</c:v>
                </c:pt>
                <c:pt idx="25" formatCode="#,##0.0">
                  <c:v>0</c:v>
                </c:pt>
                <c:pt idx="26" formatCode="#,##0.0">
                  <c:v>0</c:v>
                </c:pt>
                <c:pt idx="27" formatCode="#,##0.0">
                  <c:v>0</c:v>
                </c:pt>
                <c:pt idx="28" formatCode="#,##0.0">
                  <c:v>0</c:v>
                </c:pt>
                <c:pt idx="29" formatCode="#,##0.0">
                  <c:v>0</c:v>
                </c:pt>
                <c:pt idx="30" formatCode="#,##0.0">
                  <c:v>0</c:v>
                </c:pt>
                <c:pt idx="31" formatCode="#,##0.0">
                  <c:v>0</c:v>
                </c:pt>
                <c:pt idx="32" formatCode="#,##0.0">
                  <c:v>0</c:v>
                </c:pt>
                <c:pt idx="33" formatCode="#,##0.0">
                  <c:v>0</c:v>
                </c:pt>
                <c:pt idx="34" formatCode="#,##0.0">
                  <c:v>0</c:v>
                </c:pt>
              </c:numCache>
            </c:numRef>
          </c:val>
          <c:smooth val="0"/>
          <c:extLst>
            <c:ext xmlns:c16="http://schemas.microsoft.com/office/drawing/2014/chart" uri="{C3380CC4-5D6E-409C-BE32-E72D297353CC}">
              <c16:uniqueId val="{00000001-4994-B14C-98F3-0FCA6D96DDB6}"/>
            </c:ext>
          </c:extLst>
        </c:ser>
        <c:ser>
          <c:idx val="0"/>
          <c:order val="2"/>
          <c:tx>
            <c:v>Total</c:v>
          </c:tx>
          <c:spPr>
            <a:ln w="22225">
              <a:solidFill>
                <a:schemeClr val="tx1"/>
              </a:solidFill>
              <a:prstDash val="sysDash"/>
            </a:ln>
          </c:spPr>
          <c:marker>
            <c:symbol val="none"/>
          </c:marker>
          <c:dLbls>
            <c:numFmt formatCode="#,##0.0" sourceLinked="0"/>
            <c:spPr>
              <a:noFill/>
              <a:ln>
                <a:noFill/>
              </a:ln>
              <a:effectLst/>
            </c:spPr>
            <c:txPr>
              <a:bodyPr wrap="square" lIns="38100" tIns="19050" rIns="38100" bIns="19050" anchor="ctr">
                <a:spAutoFit/>
              </a:bodyPr>
              <a:lstStyle/>
              <a:p>
                <a:pPr>
                  <a:defRPr b="1">
                    <a:solidFill>
                      <a:schemeClr val="tx1"/>
                    </a:solidFill>
                  </a:defRPr>
                </a:pPr>
                <a:endParaRPr lang="en-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GNC'!$C$77:$AK$77</c:f>
              <c:numCache>
                <c:formatCode>yyyy</c:formatCode>
                <c:ptCount val="3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pt idx="15">
                  <c:v>42369</c:v>
                </c:pt>
                <c:pt idx="16">
                  <c:v>42735</c:v>
                </c:pt>
                <c:pt idx="17">
                  <c:v>43100</c:v>
                </c:pt>
                <c:pt idx="18">
                  <c:v>43465</c:v>
                </c:pt>
                <c:pt idx="19">
                  <c:v>43830</c:v>
                </c:pt>
                <c:pt idx="20">
                  <c:v>44196</c:v>
                </c:pt>
                <c:pt idx="21">
                  <c:v>44561</c:v>
                </c:pt>
                <c:pt idx="22">
                  <c:v>44926</c:v>
                </c:pt>
                <c:pt idx="23">
                  <c:v>45291</c:v>
                </c:pt>
                <c:pt idx="24">
                  <c:v>45657</c:v>
                </c:pt>
                <c:pt idx="25">
                  <c:v>46022</c:v>
                </c:pt>
                <c:pt idx="26">
                  <c:v>46387</c:v>
                </c:pt>
                <c:pt idx="27">
                  <c:v>46752</c:v>
                </c:pt>
                <c:pt idx="28">
                  <c:v>47118</c:v>
                </c:pt>
                <c:pt idx="29">
                  <c:v>47483</c:v>
                </c:pt>
                <c:pt idx="30">
                  <c:v>47848</c:v>
                </c:pt>
                <c:pt idx="31">
                  <c:v>48213</c:v>
                </c:pt>
                <c:pt idx="32">
                  <c:v>48579</c:v>
                </c:pt>
                <c:pt idx="33">
                  <c:v>48944</c:v>
                </c:pt>
                <c:pt idx="34">
                  <c:v>49309</c:v>
                </c:pt>
              </c:numCache>
            </c:numRef>
          </c:cat>
          <c:val>
            <c:numRef>
              <c:f>'Deuda GNC'!$C$84:$AK$84</c:f>
              <c:numCache>
                <c:formatCode>#,##0.00</c:formatCode>
                <c:ptCount val="35"/>
                <c:pt idx="0">
                  <c:v>3.3342136308509596</c:v>
                </c:pt>
                <c:pt idx="1">
                  <c:v>3.5437560992123975</c:v>
                </c:pt>
                <c:pt idx="2">
                  <c:v>3.5043841764047685</c:v>
                </c:pt>
                <c:pt idx="3">
                  <c:v>3.8104836330491061</c:v>
                </c:pt>
                <c:pt idx="4">
                  <c:v>3.5962449499774412</c:v>
                </c:pt>
                <c:pt idx="5">
                  <c:v>3.1117028824965898</c:v>
                </c:pt>
                <c:pt idx="6">
                  <c:v>3.6594073839158225</c:v>
                </c:pt>
                <c:pt idx="7">
                  <c:v>3.7125003230714699</c:v>
                </c:pt>
                <c:pt idx="8">
                  <c:v>3.2243097434003691</c:v>
                </c:pt>
                <c:pt idx="9">
                  <c:v>3.02031899529285</c:v>
                </c:pt>
                <c:pt idx="10">
                  <c:v>2.7289310093198198</c:v>
                </c:pt>
                <c:pt idx="11">
                  <c:v>2.71367889419454</c:v>
                </c:pt>
                <c:pt idx="12">
                  <c:v>2.5584604955774837</c:v>
                </c:pt>
                <c:pt idx="13">
                  <c:v>2.29150710176638</c:v>
                </c:pt>
                <c:pt idx="14">
                  <c:v>2.2256347723342396</c:v>
                </c:pt>
                <c:pt idx="15">
                  <c:v>2.5656794507421954</c:v>
                </c:pt>
                <c:pt idx="16">
                  <c:v>2.938439544175043</c:v>
                </c:pt>
                <c:pt idx="17">
                  <c:v>2.8916659210446913</c:v>
                </c:pt>
                <c:pt idx="18">
                  <c:v>2.7813579614277275</c:v>
                </c:pt>
                <c:pt idx="19">
                  <c:v>2.9055107427976448</c:v>
                </c:pt>
                <c:pt idx="20" formatCode="#,##0.0">
                  <c:v>2.8400677519731947</c:v>
                </c:pt>
                <c:pt idx="21" formatCode="#,##0.0">
                  <c:v>3.3270172777039404</c:v>
                </c:pt>
                <c:pt idx="22" formatCode="#,##0.0">
                  <c:v>4.3189221668468978</c:v>
                </c:pt>
                <c:pt idx="23" formatCode="#,##0.0">
                  <c:v>3.9090199204479448</c:v>
                </c:pt>
                <c:pt idx="24" formatCode="#,##0.0">
                  <c:v>3.9704708516313283</c:v>
                </c:pt>
                <c:pt idx="25" formatCode="#,##0.0">
                  <c:v>0</c:v>
                </c:pt>
                <c:pt idx="26" formatCode="#,##0.0">
                  <c:v>0</c:v>
                </c:pt>
                <c:pt idx="27" formatCode="#,##0.0">
                  <c:v>0</c:v>
                </c:pt>
                <c:pt idx="28" formatCode="#,##0.0">
                  <c:v>0</c:v>
                </c:pt>
                <c:pt idx="29" formatCode="#,##0.0">
                  <c:v>0</c:v>
                </c:pt>
                <c:pt idx="30" formatCode="#,##0.0">
                  <c:v>0</c:v>
                </c:pt>
                <c:pt idx="31" formatCode="#,##0.0">
                  <c:v>0</c:v>
                </c:pt>
                <c:pt idx="32" formatCode="#,##0.0">
                  <c:v>0</c:v>
                </c:pt>
                <c:pt idx="33" formatCode="#,##0.0">
                  <c:v>0</c:v>
                </c:pt>
                <c:pt idx="34" formatCode="#,##0.0">
                  <c:v>0</c:v>
                </c:pt>
              </c:numCache>
            </c:numRef>
          </c:val>
          <c:smooth val="0"/>
          <c:extLst>
            <c:ext xmlns:c16="http://schemas.microsoft.com/office/drawing/2014/chart" uri="{C3380CC4-5D6E-409C-BE32-E72D297353CC}">
              <c16:uniqueId val="{00000002-4994-B14C-98F3-0FCA6D96DDB6}"/>
            </c:ext>
          </c:extLst>
        </c:ser>
        <c:dLbls>
          <c:showLegendKey val="0"/>
          <c:showVal val="0"/>
          <c:showCatName val="0"/>
          <c:showSerName val="0"/>
          <c:showPercent val="0"/>
          <c:showBubbleSize val="0"/>
        </c:dLbls>
        <c:smooth val="0"/>
        <c:axId val="1140531520"/>
        <c:axId val="1140533200"/>
      </c:lineChart>
      <c:dateAx>
        <c:axId val="1140531520"/>
        <c:scaling>
          <c:orientation val="minMax"/>
        </c:scaling>
        <c:delete val="0"/>
        <c:axPos val="b"/>
        <c:numFmt formatCode="yy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1140533200"/>
        <c:crosses val="autoZero"/>
        <c:auto val="1"/>
        <c:lblOffset val="100"/>
        <c:baseTimeUnit val="years"/>
      </c:dateAx>
      <c:valAx>
        <c:axId val="1140533200"/>
        <c:scaling>
          <c:orientation val="minMax"/>
        </c:scaling>
        <c:delete val="1"/>
        <c:axPos val="l"/>
        <c:numFmt formatCode="#,##0" sourceLinked="0"/>
        <c:majorTickMark val="out"/>
        <c:minorTickMark val="none"/>
        <c:tickLblPos val="nextTo"/>
        <c:crossAx val="1140531520"/>
        <c:crosses val="autoZero"/>
        <c:crossBetween val="between"/>
      </c:valAx>
    </c:plotArea>
    <c:legend>
      <c:legendPos val="b"/>
      <c:layout>
        <c:manualLayout>
          <c:xMode val="edge"/>
          <c:yMode val="edge"/>
          <c:x val="0.15369220747182155"/>
          <c:y val="0.9193689814814815"/>
          <c:w val="0.69181483874390626"/>
          <c:h val="5.254930555555555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legend>
    <c:plotVisOnly val="1"/>
    <c:dispBlanksAs val="gap"/>
    <c:showDLblsOverMax val="0"/>
    <c:extLst/>
  </c:chart>
  <c:spPr>
    <a:solidFill>
      <a:schemeClr val="bg1"/>
    </a:solidFill>
    <a:ln w="9525" cap="flat" cmpd="sng" algn="ctr">
      <a:noFill/>
      <a:prstDash val="sysDash"/>
      <a:round/>
    </a:ln>
    <a:effectLst/>
  </c:spPr>
  <c:txPr>
    <a:bodyPr/>
    <a:lstStyle/>
    <a:p>
      <a:pPr>
        <a:defRPr sz="1200">
          <a:solidFill>
            <a:srgbClr val="003E6B"/>
          </a:solidFill>
          <a:latin typeface="Helvetica" pitchFamily="2" charset="0"/>
        </a:defRPr>
      </a:pPr>
      <a:endParaRPr lang="en-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rgbClr val="003E6B"/>
                </a:solidFill>
                <a:latin typeface="Helvetica" pitchFamily="2" charset="0"/>
                <a:ea typeface="+mn-ea"/>
                <a:cs typeface="+mn-cs"/>
              </a:defRPr>
            </a:pPr>
            <a:r>
              <a:rPr lang="en-US" sz="1600" b="1"/>
              <a:t>Variación de la deuda</a:t>
            </a:r>
          </a:p>
          <a:p>
            <a:pPr>
              <a:defRPr/>
            </a:pPr>
            <a:r>
              <a:rPr lang="en-US"/>
              <a:t>(% del PIB)</a:t>
            </a:r>
          </a:p>
        </c:rich>
      </c:tx>
      <c:overlay val="0"/>
      <c:spPr>
        <a:noFill/>
        <a:ln>
          <a:noFill/>
        </a:ln>
        <a:effectLst/>
      </c:spPr>
      <c:txPr>
        <a:bodyPr rot="0" spcFirstLastPara="1" vertOverflow="ellipsis" vert="horz" wrap="square" anchor="ctr" anchorCtr="1"/>
        <a:lstStyle/>
        <a:p>
          <a:pPr>
            <a:defRPr sz="1440" b="0" i="0" u="none" strike="noStrike" kern="1200" spc="0" baseline="0">
              <a:solidFill>
                <a:srgbClr val="003E6B"/>
              </a:solidFill>
              <a:latin typeface="Helvetica" pitchFamily="2" charset="0"/>
              <a:ea typeface="+mn-ea"/>
              <a:cs typeface="+mn-cs"/>
            </a:defRPr>
          </a:pPr>
          <a:endParaRPr lang="en-CO"/>
        </a:p>
      </c:txPr>
    </c:title>
    <c:autoTitleDeleted val="0"/>
    <c:plotArea>
      <c:layout>
        <c:manualLayout>
          <c:layoutTarget val="inner"/>
          <c:xMode val="edge"/>
          <c:yMode val="edge"/>
          <c:x val="2.6326510895129995E-2"/>
          <c:y val="0.1085303893637227"/>
          <c:w val="0.96231241447245008"/>
          <c:h val="0.66609501952094552"/>
        </c:manualLayout>
      </c:layout>
      <c:barChart>
        <c:barDir val="col"/>
        <c:grouping val="stacked"/>
        <c:varyColors val="0"/>
        <c:ser>
          <c:idx val="2"/>
          <c:order val="1"/>
          <c:tx>
            <c:strRef>
              <c:f>'Deuda GNC'!$A$136</c:f>
              <c:strCache>
                <c:ptCount val="1"/>
                <c:pt idx="0">
                  <c:v>Intereses</c:v>
                </c:pt>
              </c:strCache>
            </c:strRef>
          </c:tx>
          <c:spPr>
            <a:solidFill>
              <a:srgbClr val="4074C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GNC'!$Z$129:$AL$129</c:f>
              <c:numCache>
                <c:formatCode>0</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'Deuda GNC'!$Z$136:$AL$136</c:f>
              <c:numCache>
                <c:formatCode>0.0</c:formatCode>
                <c:ptCount val="13"/>
                <c:pt idx="0">
                  <c:v>3.8226172649332133</c:v>
                </c:pt>
                <c:pt idx="1">
                  <c:v>3.9704708516313283</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18FC-D14B-BFC0-6E89035E5654}"/>
            </c:ext>
          </c:extLst>
        </c:ser>
        <c:ser>
          <c:idx val="3"/>
          <c:order val="2"/>
          <c:tx>
            <c:strRef>
              <c:f>'Deuda GNC'!$A$133</c:f>
              <c:strCache>
                <c:ptCount val="1"/>
                <c:pt idx="0">
                  <c:v>Inflación</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GNC'!$Z$129:$AL$129</c:f>
              <c:numCache>
                <c:formatCode>0</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'Deuda GNC'!$Z$133:$AL$133</c:f>
              <c:numCache>
                <c:formatCode>0.0</c:formatCode>
                <c:ptCount val="13"/>
                <c:pt idx="0">
                  <c:v>-4.9205278553248597</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18FC-D14B-BFC0-6E89035E5654}"/>
            </c:ext>
          </c:extLst>
        </c:ser>
        <c:ser>
          <c:idx val="4"/>
          <c:order val="3"/>
          <c:tx>
            <c:strRef>
              <c:f>'Deuda GNC'!$A$134</c:f>
              <c:strCache>
                <c:ptCount val="1"/>
                <c:pt idx="0">
                  <c:v>Tasa de cambio</c:v>
                </c:pt>
              </c:strCache>
            </c:strRef>
          </c:tx>
          <c:spPr>
            <a:solidFill>
              <a:srgbClr val="7030A0"/>
            </a:solidFill>
            <a:ln>
              <a:no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FC-D14B-BFC0-6E89035E565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Helvetica" pitchFamily="2" charset="0"/>
                    <a:ea typeface="+mn-ea"/>
                    <a:cs typeface="+mn-cs"/>
                  </a:defRPr>
                </a:pPr>
                <a:endParaRPr lang="en-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GNC'!$Z$129:$AL$129</c:f>
              <c:numCache>
                <c:formatCode>0</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'Deuda GNC'!$Z$134:$AL$134</c:f>
              <c:numCache>
                <c:formatCode>0.0</c:formatCode>
                <c:ptCount val="13"/>
                <c:pt idx="0">
                  <c:v>-4.6827524696771805</c:v>
                </c:pt>
                <c:pt idx="1">
                  <c:v>-19.504980712772131</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18FC-D14B-BFC0-6E89035E5654}"/>
            </c:ext>
          </c:extLst>
        </c:ser>
        <c:ser>
          <c:idx val="5"/>
          <c:order val="4"/>
          <c:tx>
            <c:strRef>
              <c:f>'Deuda GNC'!$A$132</c:f>
              <c:strCache>
                <c:ptCount val="1"/>
                <c:pt idx="0">
                  <c:v>Crecimiento real</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GNC'!$Z$129:$AL$129</c:f>
              <c:numCache>
                <c:formatCode>0</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'Deuda GNC'!$Z$132:$AL$132</c:f>
              <c:numCache>
                <c:formatCode>0.0</c:formatCode>
                <c:ptCount val="13"/>
                <c:pt idx="0">
                  <c:v>-0.32170226114272787</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18FC-D14B-BFC0-6E89035E5654}"/>
            </c:ext>
          </c:extLst>
        </c:ser>
        <c:ser>
          <c:idx val="6"/>
          <c:order val="5"/>
          <c:tx>
            <c:strRef>
              <c:f>'Deuda GNC'!$A$135</c:f>
              <c:strCache>
                <c:ptCount val="1"/>
                <c:pt idx="0">
                  <c:v>Balance primario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GNC'!$Z$129:$AL$129</c:f>
              <c:numCache>
                <c:formatCode>0</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'Deuda GNC'!$Z$135:$AL$135</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18FC-D14B-BFC0-6E89035E5654}"/>
            </c:ext>
          </c:extLst>
        </c:ser>
        <c:ser>
          <c:idx val="1"/>
          <c:order val="6"/>
          <c:tx>
            <c:strRef>
              <c:f>'Deuda GNC'!$A$137</c:f>
              <c:strCache>
                <c:ptCount val="1"/>
                <c:pt idx="0">
                  <c:v>Flujo de activos financieros</c:v>
                </c:pt>
              </c:strCache>
            </c:strRef>
          </c:tx>
          <c:spPr>
            <a:solidFill>
              <a:schemeClr val="bg1">
                <a:lumMod val="65000"/>
              </a:schemeClr>
            </a:solidFill>
            <a:ln>
              <a:noFill/>
            </a:ln>
            <a:effectLst/>
          </c:spPr>
          <c:invertIfNegative val="0"/>
          <c:cat>
            <c:numRef>
              <c:f>'Deuda GNC'!$Z$129:$AL$129</c:f>
              <c:numCache>
                <c:formatCode>0</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'Deuda GNC'!$Z$137:$AL$137</c:f>
              <c:numCache>
                <c:formatCode>0.0</c:formatCode>
                <c:ptCount val="13"/>
                <c:pt idx="0">
                  <c:v>-3.1963626726928056</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6-18FC-D14B-BFC0-6E89035E5654}"/>
            </c:ext>
          </c:extLst>
        </c:ser>
        <c:ser>
          <c:idx val="7"/>
          <c:order val="7"/>
          <c:tx>
            <c:strRef>
              <c:f>'Deuda GNC'!$A$138</c:f>
              <c:strCache>
                <c:ptCount val="1"/>
                <c:pt idx="0">
                  <c:v>Ajuste (flujo-saldo)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GNC'!$Z$129:$AL$129</c:f>
              <c:numCache>
                <c:formatCode>0</c:formatCode>
                <c:ptCount val="13"/>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numCache>
            </c:numRef>
          </c:cat>
          <c:val>
            <c:numRef>
              <c:f>'Deuda GNC'!$Z$138:$AL$138</c:f>
              <c:numCache>
                <c:formatCode>0.0</c:formatCode>
                <c:ptCount val="13"/>
                <c:pt idx="0">
                  <c:v>8.0742480230587397</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7-18FC-D14B-BFC0-6E89035E5654}"/>
            </c:ext>
          </c:extLst>
        </c:ser>
        <c:dLbls>
          <c:showLegendKey val="0"/>
          <c:showVal val="0"/>
          <c:showCatName val="0"/>
          <c:showSerName val="0"/>
          <c:showPercent val="0"/>
          <c:showBubbleSize val="0"/>
        </c:dLbls>
        <c:gapWidth val="30"/>
        <c:overlap val="100"/>
        <c:axId val="1217980096"/>
        <c:axId val="1244694672"/>
      </c:barChart>
      <c:lineChart>
        <c:grouping val="standard"/>
        <c:varyColors val="0"/>
        <c:ser>
          <c:idx val="0"/>
          <c:order val="0"/>
          <c:tx>
            <c:strRef>
              <c:f>'Deuda GNC'!$A$130</c:f>
              <c:strCache>
                <c:ptCount val="1"/>
                <c:pt idx="0">
                  <c:v>Variación total de la deuda</c:v>
                </c:pt>
              </c:strCache>
            </c:strRef>
          </c:tx>
          <c:spPr>
            <a:ln w="22225" cap="rnd">
              <a:solidFill>
                <a:schemeClr val="tx1"/>
              </a:solidFill>
              <a:round/>
            </a:ln>
            <a:effectLst/>
          </c:spPr>
          <c:marker>
            <c:symbol val="none"/>
          </c:marker>
          <c:val>
            <c:numRef>
              <c:f>'Deuda GNC'!$Z$130:$AL$130</c:f>
              <c:numCache>
                <c:formatCode>0.0</c:formatCode>
                <c:ptCount val="13"/>
                <c:pt idx="0">
                  <c:v>-1.2244799708456213</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8-18FC-D14B-BFC0-6E89035E5654}"/>
            </c:ext>
          </c:extLst>
        </c:ser>
        <c:dLbls>
          <c:showLegendKey val="0"/>
          <c:showVal val="0"/>
          <c:showCatName val="0"/>
          <c:showSerName val="0"/>
          <c:showPercent val="0"/>
          <c:showBubbleSize val="0"/>
        </c:dLbls>
        <c:marker val="1"/>
        <c:smooth val="0"/>
        <c:axId val="1217980096"/>
        <c:axId val="1244694672"/>
      </c:lineChart>
      <c:catAx>
        <c:axId val="1217980096"/>
        <c:scaling>
          <c:orientation val="minMax"/>
        </c:scaling>
        <c:delete val="0"/>
        <c:axPos val="b"/>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CO"/>
          </a:p>
        </c:txPr>
        <c:crossAx val="1244694672"/>
        <c:crosses val="autoZero"/>
        <c:auto val="1"/>
        <c:lblAlgn val="ctr"/>
        <c:lblOffset val="100"/>
        <c:noMultiLvlLbl val="0"/>
      </c:catAx>
      <c:valAx>
        <c:axId val="1244694672"/>
        <c:scaling>
          <c:orientation val="minMax"/>
        </c:scaling>
        <c:delete val="1"/>
        <c:axPos val="l"/>
        <c:numFmt formatCode="0.0" sourceLinked="1"/>
        <c:majorTickMark val="out"/>
        <c:minorTickMark val="none"/>
        <c:tickLblPos val="nextTo"/>
        <c:crossAx val="1217980096"/>
        <c:crosses val="autoZero"/>
        <c:crossBetween val="between"/>
      </c:valAx>
      <c:spPr>
        <a:noFill/>
        <a:ln>
          <a:noFill/>
        </a:ln>
        <a:effectLst/>
      </c:spPr>
    </c:plotArea>
    <c:legend>
      <c:legendPos val="b"/>
      <c:legendEntry>
        <c:idx val="7"/>
        <c:txPr>
          <a:bodyPr rot="0" spcFirstLastPara="1" vertOverflow="ellipsis" vert="horz" wrap="square" anchor="ctr" anchorCtr="1"/>
          <a:lstStyle/>
          <a:p>
            <a:pPr>
              <a:defRPr sz="1400" b="1" i="0" u="none" strike="noStrike" kern="1200" baseline="0">
                <a:solidFill>
                  <a:srgbClr val="003E6B"/>
                </a:solidFill>
                <a:latin typeface="Helvetica" pitchFamily="2" charset="0"/>
                <a:ea typeface="+mn-ea"/>
                <a:cs typeface="+mn-cs"/>
              </a:defRPr>
            </a:pPr>
            <a:endParaRPr lang="en-CO"/>
          </a:p>
        </c:txPr>
      </c:legendEntry>
      <c:layout>
        <c:manualLayout>
          <c:xMode val="edge"/>
          <c:yMode val="edge"/>
          <c:x val="4.5196228142873234E-3"/>
          <c:y val="0.83470654892720708"/>
          <c:w val="0.97908539898713898"/>
          <c:h val="0.15979322619155117"/>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3E6B"/>
          </a:solidFill>
          <a:latin typeface="Helvetica" pitchFamily="2" charset="0"/>
        </a:defRPr>
      </a:pPr>
      <a:endParaRPr lang="en-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r>
              <a:rPr lang="en-US" sz="1600" b="1">
                <a:solidFill>
                  <a:schemeClr val="tx1"/>
                </a:solidFill>
              </a:rPr>
              <a:t>Variación de la deuda</a:t>
            </a:r>
          </a:p>
          <a:p>
            <a:pPr>
              <a:defRPr>
                <a:solidFill>
                  <a:schemeClr val="tx1"/>
                </a:solidFill>
              </a:defRPr>
            </a:pPr>
            <a:r>
              <a:rPr lang="en-US">
                <a:solidFill>
                  <a:schemeClr val="tx1"/>
                </a:solidFill>
              </a:rPr>
              <a:t>(% del PIB)</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solidFill>
              <a:latin typeface="Helvetica" pitchFamily="2" charset="0"/>
              <a:ea typeface="+mn-ea"/>
              <a:cs typeface="+mn-cs"/>
            </a:defRPr>
          </a:pPr>
          <a:endParaRPr lang="en-CO"/>
        </a:p>
      </c:txPr>
    </c:title>
    <c:autoTitleDeleted val="0"/>
    <c:plotArea>
      <c:layout>
        <c:manualLayout>
          <c:layoutTarget val="inner"/>
          <c:xMode val="edge"/>
          <c:yMode val="edge"/>
          <c:x val="2.6326510895129995E-2"/>
          <c:y val="0.1085303893637227"/>
          <c:w val="0.96231241447245008"/>
          <c:h val="0.62589242376279408"/>
        </c:manualLayout>
      </c:layout>
      <c:barChart>
        <c:barDir val="col"/>
        <c:grouping val="stacked"/>
        <c:varyColors val="0"/>
        <c:ser>
          <c:idx val="2"/>
          <c:order val="1"/>
          <c:tx>
            <c:strRef>
              <c:f>'Deuda GNC'!$A$136</c:f>
              <c:strCache>
                <c:ptCount val="1"/>
                <c:pt idx="0">
                  <c:v>Intereses</c:v>
                </c:pt>
              </c:strCache>
            </c:strRef>
          </c:tx>
          <c:spPr>
            <a:solidFill>
              <a:srgbClr val="4074C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GNC'!$U$129:$AB$129</c:f>
              <c:numCache>
                <c:formatCode>0</c:formatCode>
                <c:ptCount val="8"/>
                <c:pt idx="0">
                  <c:v>2018</c:v>
                </c:pt>
                <c:pt idx="1">
                  <c:v>2019</c:v>
                </c:pt>
                <c:pt idx="2">
                  <c:v>2020</c:v>
                </c:pt>
                <c:pt idx="3">
                  <c:v>2021</c:v>
                </c:pt>
                <c:pt idx="4">
                  <c:v>2022</c:v>
                </c:pt>
                <c:pt idx="5">
                  <c:v>2023</c:v>
                </c:pt>
                <c:pt idx="6">
                  <c:v>2024</c:v>
                </c:pt>
                <c:pt idx="7">
                  <c:v>2025</c:v>
                </c:pt>
              </c:numCache>
            </c:numRef>
          </c:cat>
          <c:val>
            <c:numRef>
              <c:f>'Deuda GNC'!$U$136:$AB$136</c:f>
              <c:numCache>
                <c:formatCode>0.0</c:formatCode>
                <c:ptCount val="8"/>
                <c:pt idx="0">
                  <c:v>2.8204603196653513</c:v>
                </c:pt>
                <c:pt idx="1">
                  <c:v>2.9111823821445926</c:v>
                </c:pt>
                <c:pt idx="2">
                  <c:v>2.8364401603088467</c:v>
                </c:pt>
                <c:pt idx="3">
                  <c:v>3.3915171245432409</c:v>
                </c:pt>
                <c:pt idx="4">
                  <c:v>4.3640938856614353</c:v>
                </c:pt>
                <c:pt idx="5">
                  <c:v>3.8226172649332133</c:v>
                </c:pt>
                <c:pt idx="6">
                  <c:v>3.9704708516313283</c:v>
                </c:pt>
                <c:pt idx="7">
                  <c:v>0</c:v>
                </c:pt>
              </c:numCache>
            </c:numRef>
          </c:val>
          <c:extLst>
            <c:ext xmlns:c16="http://schemas.microsoft.com/office/drawing/2014/chart" uri="{C3380CC4-5D6E-409C-BE32-E72D297353CC}">
              <c16:uniqueId val="{00000000-F2DD-C148-A941-6B1D78D4F8FF}"/>
            </c:ext>
          </c:extLst>
        </c:ser>
        <c:ser>
          <c:idx val="3"/>
          <c:order val="2"/>
          <c:tx>
            <c:strRef>
              <c:f>'Deuda GNC'!$A$133</c:f>
              <c:strCache>
                <c:ptCount val="1"/>
                <c:pt idx="0">
                  <c:v>Inflación</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GNC'!$U$129:$AB$129</c:f>
              <c:numCache>
                <c:formatCode>0</c:formatCode>
                <c:ptCount val="8"/>
                <c:pt idx="0">
                  <c:v>2018</c:v>
                </c:pt>
                <c:pt idx="1">
                  <c:v>2019</c:v>
                </c:pt>
                <c:pt idx="2">
                  <c:v>2020</c:v>
                </c:pt>
                <c:pt idx="3">
                  <c:v>2021</c:v>
                </c:pt>
                <c:pt idx="4">
                  <c:v>2022</c:v>
                </c:pt>
                <c:pt idx="5">
                  <c:v>2023</c:v>
                </c:pt>
                <c:pt idx="6">
                  <c:v>2024</c:v>
                </c:pt>
                <c:pt idx="7">
                  <c:v>2025</c:v>
                </c:pt>
              </c:numCache>
            </c:numRef>
          </c:cat>
          <c:val>
            <c:numRef>
              <c:f>'Deuda GNC'!$U$133:$AB$133</c:f>
              <c:numCache>
                <c:formatCode>0.0</c:formatCode>
                <c:ptCount val="8"/>
                <c:pt idx="0">
                  <c:v>-1.3494671659577731</c:v>
                </c:pt>
                <c:pt idx="1">
                  <c:v>-1.6965906433440783</c:v>
                </c:pt>
                <c:pt idx="2">
                  <c:v>-0.76672371711133125</c:v>
                </c:pt>
                <c:pt idx="3">
                  <c:v>-3.2298995895891509</c:v>
                </c:pt>
                <c:pt idx="4">
                  <c:v>-6.9653716451564973</c:v>
                </c:pt>
                <c:pt idx="5">
                  <c:v>-4.9205278553248597</c:v>
                </c:pt>
                <c:pt idx="6">
                  <c:v>0</c:v>
                </c:pt>
                <c:pt idx="7">
                  <c:v>0</c:v>
                </c:pt>
              </c:numCache>
            </c:numRef>
          </c:val>
          <c:extLst>
            <c:ext xmlns:c16="http://schemas.microsoft.com/office/drawing/2014/chart" uri="{C3380CC4-5D6E-409C-BE32-E72D297353CC}">
              <c16:uniqueId val="{00000001-F2DD-C148-A941-6B1D78D4F8FF}"/>
            </c:ext>
          </c:extLst>
        </c:ser>
        <c:ser>
          <c:idx val="4"/>
          <c:order val="3"/>
          <c:tx>
            <c:strRef>
              <c:f>'Deuda GNC'!$A$134</c:f>
              <c:strCache>
                <c:ptCount val="1"/>
                <c:pt idx="0">
                  <c:v>Tasa de cambio</c:v>
                </c:pt>
              </c:strCache>
            </c:strRef>
          </c:tx>
          <c:spPr>
            <a:solidFill>
              <a:srgbClr val="7030A0"/>
            </a:solidFill>
            <a:ln>
              <a:noFill/>
            </a:ln>
            <a:effectLst/>
          </c:spPr>
          <c:invertIfNegative val="0"/>
          <c:dLbls>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DD-C148-A941-6B1D78D4F8F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DD-C148-A941-6B1D78D4F8F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DD-C148-A941-6B1D78D4F8F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Helvetica" pitchFamily="2" charset="0"/>
                    <a:ea typeface="+mn-ea"/>
                    <a:cs typeface="+mn-cs"/>
                  </a:defRPr>
                </a:pPr>
                <a:endParaRPr lang="en-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GNC'!$U$129:$AB$129</c:f>
              <c:numCache>
                <c:formatCode>0</c:formatCode>
                <c:ptCount val="8"/>
                <c:pt idx="0">
                  <c:v>2018</c:v>
                </c:pt>
                <c:pt idx="1">
                  <c:v>2019</c:v>
                </c:pt>
                <c:pt idx="2">
                  <c:v>2020</c:v>
                </c:pt>
                <c:pt idx="3">
                  <c:v>2021</c:v>
                </c:pt>
                <c:pt idx="4">
                  <c:v>2022</c:v>
                </c:pt>
                <c:pt idx="5">
                  <c:v>2023</c:v>
                </c:pt>
                <c:pt idx="6">
                  <c:v>2024</c:v>
                </c:pt>
                <c:pt idx="7">
                  <c:v>2025</c:v>
                </c:pt>
              </c:numCache>
            </c:numRef>
          </c:cat>
          <c:val>
            <c:numRef>
              <c:f>'Deuda GNC'!$U$134:$AB$134</c:f>
              <c:numCache>
                <c:formatCode>0.0</c:formatCode>
                <c:ptCount val="8"/>
                <c:pt idx="0">
                  <c:v>1.2941721086968105</c:v>
                </c:pt>
                <c:pt idx="1">
                  <c:v>0.12962341504587571</c:v>
                </c:pt>
                <c:pt idx="2">
                  <c:v>0.81245914944355591</c:v>
                </c:pt>
                <c:pt idx="3">
                  <c:v>3.0699221164435393</c:v>
                </c:pt>
                <c:pt idx="4">
                  <c:v>4.2615416088328644</c:v>
                </c:pt>
                <c:pt idx="5">
                  <c:v>-4.6827524696771805</c:v>
                </c:pt>
                <c:pt idx="6">
                  <c:v>-19.504980712772131</c:v>
                </c:pt>
                <c:pt idx="7">
                  <c:v>0</c:v>
                </c:pt>
              </c:numCache>
            </c:numRef>
          </c:val>
          <c:extLst>
            <c:ext xmlns:c16="http://schemas.microsoft.com/office/drawing/2014/chart" uri="{C3380CC4-5D6E-409C-BE32-E72D297353CC}">
              <c16:uniqueId val="{00000005-F2DD-C148-A941-6B1D78D4F8FF}"/>
            </c:ext>
          </c:extLst>
        </c:ser>
        <c:ser>
          <c:idx val="5"/>
          <c:order val="4"/>
          <c:tx>
            <c:strRef>
              <c:f>'Deuda GNC'!$A$132</c:f>
              <c:strCache>
                <c:ptCount val="1"/>
                <c:pt idx="0">
                  <c:v>Crecimiento real</c:v>
                </c:pt>
              </c:strCache>
            </c:strRef>
          </c:tx>
          <c:spPr>
            <a:solidFill>
              <a:schemeClr val="accent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GNC'!$U$129:$AB$129</c:f>
              <c:numCache>
                <c:formatCode>0</c:formatCode>
                <c:ptCount val="8"/>
                <c:pt idx="0">
                  <c:v>2018</c:v>
                </c:pt>
                <c:pt idx="1">
                  <c:v>2019</c:v>
                </c:pt>
                <c:pt idx="2">
                  <c:v>2020</c:v>
                </c:pt>
                <c:pt idx="3">
                  <c:v>2021</c:v>
                </c:pt>
                <c:pt idx="4">
                  <c:v>2022</c:v>
                </c:pt>
                <c:pt idx="5">
                  <c:v>2023</c:v>
                </c:pt>
                <c:pt idx="6">
                  <c:v>2024</c:v>
                </c:pt>
                <c:pt idx="7">
                  <c:v>2025</c:v>
                </c:pt>
              </c:numCache>
            </c:numRef>
          </c:cat>
          <c:val>
            <c:numRef>
              <c:f>'Deuda GNC'!$U$132:$AB$132</c:f>
              <c:numCache>
                <c:formatCode>0.0</c:formatCode>
                <c:ptCount val="8"/>
                <c:pt idx="0">
                  <c:v>-1.06099130290836</c:v>
                </c:pt>
                <c:pt idx="1">
                  <c:v>-1.3788958058472127</c:v>
                </c:pt>
                <c:pt idx="2">
                  <c:v>3.7237933675547881</c:v>
                </c:pt>
                <c:pt idx="3">
                  <c:v>-5.7029284241699365</c:v>
                </c:pt>
                <c:pt idx="4">
                  <c:v>-3.6067560012466298</c:v>
                </c:pt>
                <c:pt idx="5">
                  <c:v>-0.32170226114272787</c:v>
                </c:pt>
                <c:pt idx="6">
                  <c:v>0</c:v>
                </c:pt>
                <c:pt idx="7">
                  <c:v>0</c:v>
                </c:pt>
              </c:numCache>
            </c:numRef>
          </c:val>
          <c:extLst>
            <c:ext xmlns:c16="http://schemas.microsoft.com/office/drawing/2014/chart" uri="{C3380CC4-5D6E-409C-BE32-E72D297353CC}">
              <c16:uniqueId val="{00000006-F2DD-C148-A941-6B1D78D4F8FF}"/>
            </c:ext>
          </c:extLst>
        </c:ser>
        <c:ser>
          <c:idx val="6"/>
          <c:order val="5"/>
          <c:tx>
            <c:strRef>
              <c:f>'Deuda GNC'!$A$135</c:f>
              <c:strCache>
                <c:ptCount val="1"/>
                <c:pt idx="0">
                  <c:v>Balance primario</c:v>
                </c:pt>
              </c:strCache>
            </c:strRef>
          </c:tx>
          <c:spPr>
            <a:solidFill>
              <a:schemeClr val="accent2"/>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DD-C148-A941-6B1D78D4F8F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DD-C148-A941-6B1D78D4F8F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DD-C148-A941-6B1D78D4F8F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solidFill>
                    <a:latin typeface="Helvetica" pitchFamily="2" charset="0"/>
                    <a:ea typeface="+mn-ea"/>
                    <a:cs typeface="+mn-cs"/>
                  </a:defRPr>
                </a:pPr>
                <a:endParaRPr lang="en-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GNC'!$U$129:$AB$129</c:f>
              <c:numCache>
                <c:formatCode>0</c:formatCode>
                <c:ptCount val="8"/>
                <c:pt idx="0">
                  <c:v>2018</c:v>
                </c:pt>
                <c:pt idx="1">
                  <c:v>2019</c:v>
                </c:pt>
                <c:pt idx="2">
                  <c:v>2020</c:v>
                </c:pt>
                <c:pt idx="3">
                  <c:v>2021</c:v>
                </c:pt>
                <c:pt idx="4">
                  <c:v>2022</c:v>
                </c:pt>
                <c:pt idx="5">
                  <c:v>2023</c:v>
                </c:pt>
                <c:pt idx="6">
                  <c:v>2024</c:v>
                </c:pt>
                <c:pt idx="7">
                  <c:v>2025</c:v>
                </c:pt>
              </c:numCache>
            </c:numRef>
          </c:cat>
          <c:val>
            <c:numRef>
              <c:f>'Deuda GNC'!$U$135:$AB$135</c:f>
              <c:numCache>
                <c:formatCode>0.0</c:formatCode>
                <c:ptCount val="8"/>
                <c:pt idx="0">
                  <c:v>0.34164852666381285</c:v>
                </c:pt>
                <c:pt idx="1">
                  <c:v>-0.44826667284460664</c:v>
                </c:pt>
                <c:pt idx="2">
                  <c:v>4.9538958629533534</c:v>
                </c:pt>
                <c:pt idx="3">
                  <c:v>3.6451099520905785</c:v>
                </c:pt>
                <c:pt idx="4">
                  <c:v>0.98560702258717359</c:v>
                </c:pt>
                <c:pt idx="5">
                  <c:v>0</c:v>
                </c:pt>
                <c:pt idx="6">
                  <c:v>0</c:v>
                </c:pt>
                <c:pt idx="7">
                  <c:v>0</c:v>
                </c:pt>
              </c:numCache>
            </c:numRef>
          </c:val>
          <c:extLst>
            <c:ext xmlns:c16="http://schemas.microsoft.com/office/drawing/2014/chart" uri="{C3380CC4-5D6E-409C-BE32-E72D297353CC}">
              <c16:uniqueId val="{0000000A-F2DD-C148-A941-6B1D78D4F8FF}"/>
            </c:ext>
          </c:extLst>
        </c:ser>
        <c:ser>
          <c:idx val="1"/>
          <c:order val="6"/>
          <c:tx>
            <c:strRef>
              <c:f>'Deuda GNC'!$A$137</c:f>
              <c:strCache>
                <c:ptCount val="1"/>
                <c:pt idx="0">
                  <c:v>Flujo de activos financieros</c:v>
                </c:pt>
              </c:strCache>
            </c:strRef>
          </c:tx>
          <c:spPr>
            <a:solidFill>
              <a:schemeClr val="bg1">
                <a:lumMod val="65000"/>
              </a:schemeClr>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2DD-C148-A941-6B1D78D4F8F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2DD-C148-A941-6B1D78D4F8F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Helvetica" pitchFamily="2" charset="0"/>
                    <a:ea typeface="+mn-ea"/>
                    <a:cs typeface="+mn-cs"/>
                  </a:defRPr>
                </a:pPr>
                <a:endParaRPr lang="en-CO"/>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GNC'!$U$129:$AB$129</c:f>
              <c:numCache>
                <c:formatCode>0</c:formatCode>
                <c:ptCount val="8"/>
                <c:pt idx="0">
                  <c:v>2018</c:v>
                </c:pt>
                <c:pt idx="1">
                  <c:v>2019</c:v>
                </c:pt>
                <c:pt idx="2">
                  <c:v>2020</c:v>
                </c:pt>
                <c:pt idx="3">
                  <c:v>2021</c:v>
                </c:pt>
                <c:pt idx="4">
                  <c:v>2022</c:v>
                </c:pt>
                <c:pt idx="5">
                  <c:v>2023</c:v>
                </c:pt>
                <c:pt idx="6">
                  <c:v>2024</c:v>
                </c:pt>
                <c:pt idx="7">
                  <c:v>2025</c:v>
                </c:pt>
              </c:numCache>
            </c:numRef>
          </c:cat>
          <c:val>
            <c:numRef>
              <c:f>'Deuda GNC'!$U$137:$AB$137</c:f>
              <c:numCache>
                <c:formatCode>0.0</c:formatCode>
                <c:ptCount val="8"/>
                <c:pt idx="0">
                  <c:v>0.39136177448690779</c:v>
                </c:pt>
                <c:pt idx="1">
                  <c:v>-1.0305181076892054</c:v>
                </c:pt>
                <c:pt idx="2">
                  <c:v>2.4258683504866889</c:v>
                </c:pt>
                <c:pt idx="3">
                  <c:v>-1.4591913396865213</c:v>
                </c:pt>
                <c:pt idx="4">
                  <c:v>0.2747448122172762</c:v>
                </c:pt>
                <c:pt idx="5">
                  <c:v>-3.1963626726928056</c:v>
                </c:pt>
                <c:pt idx="6">
                  <c:v>0</c:v>
                </c:pt>
                <c:pt idx="7">
                  <c:v>0</c:v>
                </c:pt>
              </c:numCache>
            </c:numRef>
          </c:val>
          <c:extLst>
            <c:ext xmlns:c16="http://schemas.microsoft.com/office/drawing/2014/chart" uri="{C3380CC4-5D6E-409C-BE32-E72D297353CC}">
              <c16:uniqueId val="{0000000D-F2DD-C148-A941-6B1D78D4F8FF}"/>
            </c:ext>
          </c:extLst>
        </c:ser>
        <c:ser>
          <c:idx val="7"/>
          <c:order val="7"/>
          <c:tx>
            <c:strRef>
              <c:f>'Deuda GNC'!$A$138</c:f>
              <c:strCache>
                <c:ptCount val="1"/>
                <c:pt idx="0">
                  <c:v>Ajuste (flujo-saldo)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GNC'!$U$129:$AB$129</c:f>
              <c:numCache>
                <c:formatCode>0</c:formatCode>
                <c:ptCount val="8"/>
                <c:pt idx="0">
                  <c:v>2018</c:v>
                </c:pt>
                <c:pt idx="1">
                  <c:v>2019</c:v>
                </c:pt>
                <c:pt idx="2">
                  <c:v>2020</c:v>
                </c:pt>
                <c:pt idx="3">
                  <c:v>2021</c:v>
                </c:pt>
                <c:pt idx="4">
                  <c:v>2022</c:v>
                </c:pt>
                <c:pt idx="5">
                  <c:v>2023</c:v>
                </c:pt>
                <c:pt idx="6">
                  <c:v>2024</c:v>
                </c:pt>
                <c:pt idx="7">
                  <c:v>2025</c:v>
                </c:pt>
              </c:numCache>
            </c:numRef>
          </c:cat>
          <c:val>
            <c:numRef>
              <c:f>'Deuda GNC'!$U$138:$AB$138</c:f>
              <c:numCache>
                <c:formatCode>0.0</c:formatCode>
                <c:ptCount val="8"/>
                <c:pt idx="0">
                  <c:v>0.12098700881694935</c:v>
                </c:pt>
                <c:pt idx="1">
                  <c:v>3.5590674379640719</c:v>
                </c:pt>
                <c:pt idx="2">
                  <c:v>-1.6736254796593073</c:v>
                </c:pt>
                <c:pt idx="3">
                  <c:v>-0.36085782533434152</c:v>
                </c:pt>
                <c:pt idx="4">
                  <c:v>-1.4254969024000963</c:v>
                </c:pt>
                <c:pt idx="5">
                  <c:v>8.0742480230587397</c:v>
                </c:pt>
                <c:pt idx="6">
                  <c:v>0</c:v>
                </c:pt>
                <c:pt idx="7">
                  <c:v>0</c:v>
                </c:pt>
              </c:numCache>
            </c:numRef>
          </c:val>
          <c:extLst>
            <c:ext xmlns:c16="http://schemas.microsoft.com/office/drawing/2014/chart" uri="{C3380CC4-5D6E-409C-BE32-E72D297353CC}">
              <c16:uniqueId val="{0000000E-F2DD-C148-A941-6B1D78D4F8FF}"/>
            </c:ext>
          </c:extLst>
        </c:ser>
        <c:dLbls>
          <c:showLegendKey val="0"/>
          <c:showVal val="0"/>
          <c:showCatName val="0"/>
          <c:showSerName val="0"/>
          <c:showPercent val="0"/>
          <c:showBubbleSize val="0"/>
        </c:dLbls>
        <c:gapWidth val="85"/>
        <c:overlap val="100"/>
        <c:axId val="1217980096"/>
        <c:axId val="1244694672"/>
      </c:barChart>
      <c:lineChart>
        <c:grouping val="standard"/>
        <c:varyColors val="0"/>
        <c:ser>
          <c:idx val="0"/>
          <c:order val="0"/>
          <c:tx>
            <c:strRef>
              <c:f>'Deuda GNC'!$A$130</c:f>
              <c:strCache>
                <c:ptCount val="1"/>
                <c:pt idx="0">
                  <c:v>Variación total de la deuda</c:v>
                </c:pt>
              </c:strCache>
            </c:strRef>
          </c:tx>
          <c:spPr>
            <a:ln w="19050" cap="rnd">
              <a:solidFill>
                <a:srgbClr val="FF0000"/>
              </a:solidFill>
              <a:round/>
            </a:ln>
            <a:effectLst/>
          </c:spPr>
          <c:marker>
            <c:symbol val="circle"/>
            <c:size val="5"/>
            <c:spPr>
              <a:solidFill>
                <a:srgbClr val="FF0000"/>
              </a:solidFill>
              <a:ln w="9525">
                <a:noFill/>
              </a:ln>
              <a:effectLst/>
            </c:spPr>
          </c:marker>
          <c:dLbls>
            <c:dLbl>
              <c:idx val="0"/>
              <c:layout>
                <c:manualLayout>
                  <c:x val="1.6403883680730175E-2"/>
                  <c:y val="-3.7264699350480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2DD-C148-A941-6B1D78D4F8FF}"/>
                </c:ext>
              </c:extLst>
            </c:dLbl>
            <c:dLbl>
              <c:idx val="1"/>
              <c:layout>
                <c:manualLayout>
                  <c:x val="2.6654736882551738E-2"/>
                  <c:y val="-2.7172087462456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2DD-C148-A941-6B1D78D4F8FF}"/>
                </c:ext>
              </c:extLst>
            </c:dLbl>
            <c:dLbl>
              <c:idx val="2"/>
              <c:layout>
                <c:manualLayout>
                  <c:x val="3.2805830009294448E-2"/>
                  <c:y val="-5.43441749249130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2DD-C148-A941-6B1D78D4F8FF}"/>
                </c:ext>
              </c:extLst>
            </c:dLbl>
            <c:dLbl>
              <c:idx val="3"/>
              <c:layout>
                <c:manualLayout>
                  <c:x val="1.4352550629066246E-2"/>
                  <c:y val="2.71720874624565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2DD-C148-A941-6B1D78D4F8FF}"/>
                </c:ext>
              </c:extLst>
            </c:dLbl>
            <c:dLbl>
              <c:idx val="4"/>
              <c:layout>
                <c:manualLayout>
                  <c:x val="2.0503643755809105E-2"/>
                  <c:y val="5.1626966178667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2DD-C148-A941-6B1D78D4F8FF}"/>
                </c:ext>
              </c:extLst>
            </c:dLbl>
            <c:dLbl>
              <c:idx val="5"/>
              <c:layout>
                <c:manualLayout>
                  <c:x val="1.6402915004647224E-2"/>
                  <c:y val="1.0868834984982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2DD-C148-A941-6B1D78D4F8FF}"/>
                </c:ext>
              </c:extLst>
            </c:dLbl>
            <c:dLbl>
              <c:idx val="6"/>
              <c:layout>
                <c:manualLayout>
                  <c:x val="3.6906558760456253E-2"/>
                  <c:y val="-8.69506798798609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2DD-C148-A941-6B1D78D4F8FF}"/>
                </c:ext>
              </c:extLst>
            </c:dLbl>
            <c:dLbl>
              <c:idx val="7"/>
              <c:layout>
                <c:manualLayout>
                  <c:x val="0"/>
                  <c:y val="-0.1059711411035804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2DD-C148-A941-6B1D78D4F8F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C00000"/>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'Deuda GNC'!$U$130:$AB$130</c:f>
              <c:numCache>
                <c:formatCode>0.0</c:formatCode>
                <c:ptCount val="8"/>
                <c:pt idx="0">
                  <c:v>2.5581712694636991</c:v>
                </c:pt>
                <c:pt idx="1">
                  <c:v>2.045602005429437</c:v>
                </c:pt>
                <c:pt idx="2">
                  <c:v>12.312107693976593</c:v>
                </c:pt>
                <c:pt idx="3">
                  <c:v>-0.64632798570259098</c:v>
                </c:pt>
                <c:pt idx="4">
                  <c:v>-2.1116372195044733</c:v>
                </c:pt>
                <c:pt idx="5">
                  <c:v>-1.2244799708456213</c:v>
                </c:pt>
                <c:pt idx="6">
                  <c:v>0</c:v>
                </c:pt>
                <c:pt idx="7">
                  <c:v>0</c:v>
                </c:pt>
              </c:numCache>
            </c:numRef>
          </c:val>
          <c:smooth val="0"/>
          <c:extLst>
            <c:ext xmlns:c16="http://schemas.microsoft.com/office/drawing/2014/chart" uri="{C3380CC4-5D6E-409C-BE32-E72D297353CC}">
              <c16:uniqueId val="{00000017-F2DD-C148-A941-6B1D78D4F8FF}"/>
            </c:ext>
          </c:extLst>
        </c:ser>
        <c:dLbls>
          <c:showLegendKey val="0"/>
          <c:showVal val="0"/>
          <c:showCatName val="0"/>
          <c:showSerName val="0"/>
          <c:showPercent val="0"/>
          <c:showBubbleSize val="0"/>
        </c:dLbls>
        <c:marker val="1"/>
        <c:smooth val="0"/>
        <c:axId val="1217980096"/>
        <c:axId val="1244694672"/>
      </c:lineChart>
      <c:catAx>
        <c:axId val="1217980096"/>
        <c:scaling>
          <c:orientation val="minMax"/>
        </c:scaling>
        <c:delete val="0"/>
        <c:axPos val="b"/>
        <c:numFmt formatCode="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CO"/>
          </a:p>
        </c:txPr>
        <c:crossAx val="1244694672"/>
        <c:crosses val="autoZero"/>
        <c:auto val="1"/>
        <c:lblAlgn val="ctr"/>
        <c:lblOffset val="100"/>
        <c:noMultiLvlLbl val="0"/>
      </c:catAx>
      <c:valAx>
        <c:axId val="1244694672"/>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bg1"/>
                </a:solidFill>
                <a:latin typeface="Helvetica" pitchFamily="2" charset="0"/>
                <a:ea typeface="+mn-ea"/>
                <a:cs typeface="+mn-cs"/>
              </a:defRPr>
            </a:pPr>
            <a:endParaRPr lang="en-CO"/>
          </a:p>
        </c:txPr>
        <c:crossAx val="1217980096"/>
        <c:crosses val="autoZero"/>
        <c:crossBetween val="between"/>
      </c:valAx>
      <c:spPr>
        <a:noFill/>
        <a:ln>
          <a:noFill/>
        </a:ln>
        <a:effectLst/>
      </c:spPr>
    </c:plotArea>
    <c:legend>
      <c:legendPos val="b"/>
      <c:legendEntry>
        <c:idx val="7"/>
        <c:txPr>
          <a:bodyPr rot="0" spcFirstLastPara="1" vertOverflow="ellipsis" vert="horz" wrap="square" anchor="ctr" anchorCtr="1"/>
          <a:lstStyle/>
          <a:p>
            <a:pPr>
              <a:defRPr sz="1400" b="1" i="0" u="none" strike="noStrike" kern="1200" baseline="0">
                <a:solidFill>
                  <a:schemeClr val="tx1"/>
                </a:solidFill>
                <a:latin typeface="Helvetica" pitchFamily="2" charset="0"/>
                <a:ea typeface="+mn-ea"/>
                <a:cs typeface="+mn-cs"/>
              </a:defRPr>
            </a:pPr>
            <a:endParaRPr lang="en-CO"/>
          </a:p>
        </c:txPr>
      </c:legendEntry>
      <c:layout>
        <c:manualLayout>
          <c:xMode val="edge"/>
          <c:yMode val="edge"/>
          <c:x val="1.0610544701828963E-2"/>
          <c:y val="0.80230856807656259"/>
          <c:w val="0.97908539898713898"/>
          <c:h val="0.183474181136730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Helvetica" pitchFamily="2" charset="0"/>
              <a:ea typeface="+mn-ea"/>
              <a:cs typeface="+mn-cs"/>
            </a:defRPr>
          </a:pPr>
          <a:endParaRPr lang="en-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3E6B"/>
          </a:solidFill>
          <a:latin typeface="Helvetica" pitchFamily="2" charset="0"/>
        </a:defRPr>
      </a:pPr>
      <a:endParaRPr lang="en-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rgbClr val="003E6B"/>
                </a:solidFill>
                <a:latin typeface="Helvetica" pitchFamily="2" charset="0"/>
                <a:ea typeface="+mn-ea"/>
                <a:cs typeface="+mn-cs"/>
              </a:defRPr>
            </a:pPr>
            <a:r>
              <a:rPr lang="en-US" b="1"/>
              <a:t>Deuda Neta del GNC</a:t>
            </a:r>
          </a:p>
          <a:p>
            <a:pPr>
              <a:defRPr/>
            </a:pPr>
            <a:r>
              <a:rPr lang="en-US"/>
              <a:t>(% del PIB)</a:t>
            </a:r>
          </a:p>
        </c:rich>
      </c:tx>
      <c:overlay val="0"/>
      <c:spPr>
        <a:noFill/>
        <a:ln>
          <a:noFill/>
        </a:ln>
        <a:effectLst/>
      </c:spPr>
      <c:txPr>
        <a:bodyPr rot="0" spcFirstLastPara="1" vertOverflow="ellipsis" vert="horz" wrap="square" anchor="ctr" anchorCtr="1"/>
        <a:lstStyle/>
        <a:p>
          <a:pPr>
            <a:defRPr sz="1440" b="0" i="0" u="none" strike="noStrike" kern="1200" spc="0" baseline="0">
              <a:solidFill>
                <a:srgbClr val="003E6B"/>
              </a:solidFill>
              <a:latin typeface="Helvetica" pitchFamily="2" charset="0"/>
              <a:ea typeface="+mn-ea"/>
              <a:cs typeface="+mn-cs"/>
            </a:defRPr>
          </a:pPr>
          <a:endParaRPr lang="en-CO"/>
        </a:p>
      </c:txPr>
    </c:title>
    <c:autoTitleDeleted val="0"/>
    <c:plotArea>
      <c:layout>
        <c:manualLayout>
          <c:layoutTarget val="inner"/>
          <c:xMode val="edge"/>
          <c:yMode val="edge"/>
          <c:x val="1.4928789276090816E-2"/>
          <c:y val="6.7213114754098358E-2"/>
          <c:w val="0.96801529103479667"/>
          <c:h val="0.75508945398218663"/>
        </c:manualLayout>
      </c:layout>
      <c:barChart>
        <c:barDir val="col"/>
        <c:grouping val="stacked"/>
        <c:varyColors val="0"/>
        <c:ser>
          <c:idx val="2"/>
          <c:order val="1"/>
          <c:tx>
            <c:v>Interna</c:v>
          </c:tx>
          <c:spPr>
            <a:solidFill>
              <a:schemeClr val="accent6"/>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deuda'!$B$5:$AB$5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'Gráficos deuda'!$B$11:$AB$11</c:f>
              <c:numCache>
                <c:formatCode>0.0</c:formatCode>
                <c:ptCount val="27"/>
                <c:pt idx="0">
                  <c:v>18.935565586753082</c:v>
                </c:pt>
                <c:pt idx="1">
                  <c:v>20.792511049887729</c:v>
                </c:pt>
                <c:pt idx="2">
                  <c:v>21.69778702162526</c:v>
                </c:pt>
                <c:pt idx="3">
                  <c:v>25.019090765696312</c:v>
                </c:pt>
                <c:pt idx="4">
                  <c:v>24.642275114724697</c:v>
                </c:pt>
                <c:pt idx="5">
                  <c:v>24.688262973523194</c:v>
                </c:pt>
                <c:pt idx="6">
                  <c:v>27.281511230694399</c:v>
                </c:pt>
                <c:pt idx="7">
                  <c:v>25.588178220707647</c:v>
                </c:pt>
                <c:pt idx="8">
                  <c:v>24.845123933978254</c:v>
                </c:pt>
                <c:pt idx="9">
                  <c:v>24.078962486639877</c:v>
                </c:pt>
                <c:pt idx="10">
                  <c:v>25.6300410696639</c:v>
                </c:pt>
                <c:pt idx="11">
                  <c:v>26.569212594698637</c:v>
                </c:pt>
                <c:pt idx="12">
                  <c:v>24.538100375393331</c:v>
                </c:pt>
                <c:pt idx="13">
                  <c:v>24.398754999474995</c:v>
                </c:pt>
                <c:pt idx="14">
                  <c:v>24.86875956288829</c:v>
                </c:pt>
                <c:pt idx="15">
                  <c:v>25.262990139287815</c:v>
                </c:pt>
                <c:pt idx="16">
                  <c:v>26.360604589432612</c:v>
                </c:pt>
                <c:pt idx="17">
                  <c:v>28.625058541699467</c:v>
                </c:pt>
                <c:pt idx="18">
                  <c:v>29.127676048746498</c:v>
                </c:pt>
                <c:pt idx="19">
                  <c:v>30.641158898012783</c:v>
                </c:pt>
                <c:pt idx="20">
                  <c:v>33.028538758320643</c:v>
                </c:pt>
                <c:pt idx="21">
                  <c:v>39.120462662588132</c:v>
                </c:pt>
                <c:pt idx="22">
                  <c:v>36.138214769784717</c:v>
                </c:pt>
                <c:pt idx="23">
                  <c:v>33.817764134673709</c:v>
                </c:pt>
                <c:pt idx="24">
                  <c:v>37.213996647190505</c:v>
                </c:pt>
                <c:pt idx="25">
                  <c:v>32.369208215969167</c:v>
                </c:pt>
                <c:pt idx="26">
                  <c:v>0</c:v>
                </c:pt>
              </c:numCache>
            </c:numRef>
          </c:val>
          <c:extLst>
            <c:ext xmlns:c16="http://schemas.microsoft.com/office/drawing/2014/chart" uri="{C3380CC4-5D6E-409C-BE32-E72D297353CC}">
              <c16:uniqueId val="{00000000-4A91-3249-A02E-931074657632}"/>
            </c:ext>
          </c:extLst>
        </c:ser>
        <c:ser>
          <c:idx val="4"/>
          <c:order val="2"/>
          <c:tx>
            <c:v>Externa</c:v>
          </c:tx>
          <c:spPr>
            <a:solidFill>
              <a:schemeClr val="accent1">
                <a:lumMod val="40000"/>
                <a:lumOff val="60000"/>
              </a:scheme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rgbClr val="003E6B"/>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deuda'!$B$5:$AB$5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'Gráficos deuda'!$B$12:$AB$12</c:f>
              <c:numCache>
                <c:formatCode>0.0</c:formatCode>
                <c:ptCount val="27"/>
                <c:pt idx="0">
                  <c:v>14.009242280515959</c:v>
                </c:pt>
                <c:pt idx="1">
                  <c:v>15.189045005013663</c:v>
                </c:pt>
                <c:pt idx="2">
                  <c:v>17.18850953911771</c:v>
                </c:pt>
                <c:pt idx="3">
                  <c:v>21.275617510528257</c:v>
                </c:pt>
                <c:pt idx="4">
                  <c:v>20.538594320161359</c:v>
                </c:pt>
                <c:pt idx="5">
                  <c:v>16.757567789493784</c:v>
                </c:pt>
                <c:pt idx="6">
                  <c:v>13.161461415677897</c:v>
                </c:pt>
                <c:pt idx="7">
                  <c:v>12.631434973351388</c:v>
                </c:pt>
                <c:pt idx="8">
                  <c:v>10.902062549188628</c:v>
                </c:pt>
                <c:pt idx="9">
                  <c:v>11.182167254507753</c:v>
                </c:pt>
                <c:pt idx="10">
                  <c:v>10.916974947016875</c:v>
                </c:pt>
                <c:pt idx="11">
                  <c:v>10.423894007938069</c:v>
                </c:pt>
                <c:pt idx="12">
                  <c:v>9.8570490492226295</c:v>
                </c:pt>
                <c:pt idx="13">
                  <c:v>8.76952894194247</c:v>
                </c:pt>
                <c:pt idx="14">
                  <c:v>9.318813911826771</c:v>
                </c:pt>
                <c:pt idx="15">
                  <c:v>11.445894820305821</c:v>
                </c:pt>
                <c:pt idx="16">
                  <c:v>15.411764698506328</c:v>
                </c:pt>
                <c:pt idx="17">
                  <c:v>14.541946460886832</c:v>
                </c:pt>
                <c:pt idx="18">
                  <c:v>14.657865518399102</c:v>
                </c:pt>
                <c:pt idx="19">
                  <c:v>15.702553938596514</c:v>
                </c:pt>
                <c:pt idx="20">
                  <c:v>15.360776083718095</c:v>
                </c:pt>
                <c:pt idx="21">
                  <c:v>21.580959873427201</c:v>
                </c:pt>
                <c:pt idx="22">
                  <c:v>23.916879780528017</c:v>
                </c:pt>
                <c:pt idx="23">
                  <c:v>24.125693196134556</c:v>
                </c:pt>
                <c:pt idx="24">
                  <c:v>19.504980712772134</c:v>
                </c:pt>
                <c:pt idx="25">
                  <c:v>0</c:v>
                </c:pt>
                <c:pt idx="26">
                  <c:v>0</c:v>
                </c:pt>
              </c:numCache>
            </c:numRef>
          </c:val>
          <c:extLst>
            <c:ext xmlns:c16="http://schemas.microsoft.com/office/drawing/2014/chart" uri="{C3380CC4-5D6E-409C-BE32-E72D297353CC}">
              <c16:uniqueId val="{00000001-4A91-3249-A02E-931074657632}"/>
            </c:ext>
          </c:extLst>
        </c:ser>
        <c:dLbls>
          <c:showLegendKey val="0"/>
          <c:showVal val="0"/>
          <c:showCatName val="0"/>
          <c:showSerName val="0"/>
          <c:showPercent val="0"/>
          <c:showBubbleSize val="0"/>
        </c:dLbls>
        <c:gapWidth val="24"/>
        <c:overlap val="100"/>
        <c:axId val="253015120"/>
        <c:axId val="253603552"/>
      </c:barChart>
      <c:lineChart>
        <c:grouping val="standard"/>
        <c:varyColors val="0"/>
        <c:ser>
          <c:idx val="0"/>
          <c:order val="0"/>
          <c:tx>
            <c:v>Total</c:v>
          </c:tx>
          <c:spPr>
            <a:ln w="22225" cap="rnd">
              <a:solidFill>
                <a:srgbClr val="003E6B"/>
              </a:solidFill>
              <a:round/>
            </a:ln>
            <a:effectLst/>
          </c:spPr>
          <c:marker>
            <c:symbol val="none"/>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3E6B"/>
                    </a:solidFill>
                    <a:latin typeface="Helvetica" pitchFamily="2" charset="0"/>
                    <a:ea typeface="+mn-ea"/>
                    <a:cs typeface="+mn-cs"/>
                  </a:defRPr>
                </a:pPr>
                <a:endParaRPr lang="en-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deuda'!$B$5:$AB$5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'Gráficos deuda'!$B$10:$AB$10</c:f>
              <c:numCache>
                <c:formatCode>0.0</c:formatCode>
                <c:ptCount val="27"/>
                <c:pt idx="0">
                  <c:v>32.944807867269041</c:v>
                </c:pt>
                <c:pt idx="1">
                  <c:v>35.98155605490139</c:v>
                </c:pt>
                <c:pt idx="2">
                  <c:v>38.88629656074297</c:v>
                </c:pt>
                <c:pt idx="3">
                  <c:v>46.294708276224569</c:v>
                </c:pt>
                <c:pt idx="4">
                  <c:v>45.180869434886056</c:v>
                </c:pt>
                <c:pt idx="5">
                  <c:v>41.445830763016986</c:v>
                </c:pt>
                <c:pt idx="6">
                  <c:v>40.442972646372297</c:v>
                </c:pt>
                <c:pt idx="7">
                  <c:v>38.219613194059036</c:v>
                </c:pt>
                <c:pt idx="8">
                  <c:v>35.747186483166885</c:v>
                </c:pt>
                <c:pt idx="9">
                  <c:v>35.261129741147627</c:v>
                </c:pt>
                <c:pt idx="10">
                  <c:v>36.547016016680772</c:v>
                </c:pt>
                <c:pt idx="11">
                  <c:v>36.993106602636708</c:v>
                </c:pt>
                <c:pt idx="12">
                  <c:v>34.395149424615958</c:v>
                </c:pt>
                <c:pt idx="13">
                  <c:v>33.168283941417471</c:v>
                </c:pt>
                <c:pt idx="14">
                  <c:v>34.187573474715059</c:v>
                </c:pt>
                <c:pt idx="15">
                  <c:v>36.708884959593632</c:v>
                </c:pt>
                <c:pt idx="16">
                  <c:v>41.772369287938936</c:v>
                </c:pt>
                <c:pt idx="17">
                  <c:v>43.167005002586293</c:v>
                </c:pt>
                <c:pt idx="18">
                  <c:v>43.7855415671456</c:v>
                </c:pt>
                <c:pt idx="19">
                  <c:v>46.343712836609299</c:v>
                </c:pt>
                <c:pt idx="20">
                  <c:v>48.389314842038736</c:v>
                </c:pt>
                <c:pt idx="21">
                  <c:v>60.701422536015329</c:v>
                </c:pt>
                <c:pt idx="22">
                  <c:v>60.055094550312738</c:v>
                </c:pt>
                <c:pt idx="23">
                  <c:v>57.943457330808265</c:v>
                </c:pt>
                <c:pt idx="24">
                  <c:v>56.718977359962643</c:v>
                </c:pt>
                <c:pt idx="25">
                  <c:v>0</c:v>
                </c:pt>
                <c:pt idx="26">
                  <c:v>0</c:v>
                </c:pt>
              </c:numCache>
            </c:numRef>
          </c:val>
          <c:smooth val="0"/>
          <c:extLst>
            <c:ext xmlns:c16="http://schemas.microsoft.com/office/drawing/2014/chart" uri="{C3380CC4-5D6E-409C-BE32-E72D297353CC}">
              <c16:uniqueId val="{00000002-4A91-3249-A02E-931074657632}"/>
            </c:ext>
          </c:extLst>
        </c:ser>
        <c:dLbls>
          <c:showLegendKey val="0"/>
          <c:showVal val="0"/>
          <c:showCatName val="0"/>
          <c:showSerName val="0"/>
          <c:showPercent val="0"/>
          <c:showBubbleSize val="0"/>
        </c:dLbls>
        <c:marker val="1"/>
        <c:smooth val="0"/>
        <c:axId val="253015120"/>
        <c:axId val="253603552"/>
      </c:lineChart>
      <c:catAx>
        <c:axId val="25301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253603552"/>
        <c:crosses val="autoZero"/>
        <c:auto val="1"/>
        <c:lblAlgn val="ctr"/>
        <c:lblOffset val="100"/>
        <c:noMultiLvlLbl val="1"/>
      </c:catAx>
      <c:valAx>
        <c:axId val="253603552"/>
        <c:scaling>
          <c:orientation val="minMax"/>
          <c:max val="76"/>
          <c:min val="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253015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3E6B"/>
          </a:solidFill>
          <a:latin typeface="Helvetica" pitchFamily="2" charset="0"/>
        </a:defRPr>
      </a:pPr>
      <a:endParaRPr lang="en-CO"/>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003E6B"/>
                </a:solidFill>
                <a:latin typeface="Helvetica" pitchFamily="2" charset="0"/>
                <a:ea typeface="+mn-ea"/>
                <a:cs typeface="+mn-cs"/>
              </a:defRPr>
            </a:pPr>
            <a:r>
              <a:rPr lang="en-US" sz="1600" b="1"/>
              <a:t>Deuda Neta del GNC</a:t>
            </a:r>
            <a:endParaRPr lang="en-US" sz="1600" b="0"/>
          </a:p>
          <a:p>
            <a:pPr>
              <a:defRPr b="1"/>
            </a:pPr>
            <a:r>
              <a:rPr lang="en-US" sz="1200" b="0"/>
              <a:t>(% del PIB)</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003E6B"/>
              </a:solidFill>
              <a:latin typeface="Helvetica" pitchFamily="2" charset="0"/>
              <a:ea typeface="+mn-ea"/>
              <a:cs typeface="+mn-cs"/>
            </a:defRPr>
          </a:pPr>
          <a:endParaRPr lang="en-CO"/>
        </a:p>
      </c:txPr>
    </c:title>
    <c:autoTitleDeleted val="0"/>
    <c:plotArea>
      <c:layout>
        <c:manualLayout>
          <c:layoutTarget val="inner"/>
          <c:xMode val="edge"/>
          <c:yMode val="edge"/>
          <c:x val="1.9625334522747548E-2"/>
          <c:y val="8.4053601340033521E-2"/>
          <c:w val="0.96074933095450488"/>
          <c:h val="0.76627019612498182"/>
        </c:manualLayout>
      </c:layout>
      <c:lineChart>
        <c:grouping val="standard"/>
        <c:varyColors val="0"/>
        <c:ser>
          <c:idx val="2"/>
          <c:order val="0"/>
          <c:tx>
            <c:strRef>
              <c:f>'Gráficos deuda'!$A$10</c:f>
              <c:strCache>
                <c:ptCount val="1"/>
                <c:pt idx="0">
                  <c:v>Deuda neta proyectada</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E41-0840-AA5C-25F27809343E}"/>
                </c:ext>
              </c:extLst>
            </c:dLbl>
            <c:dLbl>
              <c:idx val="1"/>
              <c:delete val="1"/>
              <c:extLst>
                <c:ext xmlns:c15="http://schemas.microsoft.com/office/drawing/2012/chart" uri="{CE6537A1-D6FC-4f65-9D91-7224C49458BB}"/>
                <c:ext xmlns:c16="http://schemas.microsoft.com/office/drawing/2014/chart" uri="{C3380CC4-5D6E-409C-BE32-E72D297353CC}">
                  <c16:uniqueId val="{00000001-7E41-0840-AA5C-25F27809343E}"/>
                </c:ext>
              </c:extLst>
            </c:dLbl>
            <c:spPr>
              <a:noFill/>
              <a:ln>
                <a:noFill/>
              </a:ln>
              <a:effectLst/>
            </c:spPr>
            <c:txPr>
              <a:bodyPr rot="0" spcFirstLastPara="1" vertOverflow="ellipsis" vert="horz" wrap="square" anchor="ctr" anchorCtr="1"/>
              <a:lstStyle/>
              <a:p>
                <a:pPr>
                  <a:defRPr sz="1200" b="1" i="0" u="none" strike="noStrike" kern="1200" baseline="0">
                    <a:solidFill>
                      <a:schemeClr val="accent2"/>
                    </a:solidFill>
                    <a:latin typeface="Helvetica" pitchFamily="2" charset="0"/>
                    <a:ea typeface="+mn-ea"/>
                    <a:cs typeface="+mn-cs"/>
                  </a:defRPr>
                </a:pPr>
                <a:endParaRPr lang="en-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deuda'!$Y$5:$AL$5</c:f>
              <c:numCache>
                <c:formatCode>General</c:formatCod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numCache>
            </c:numRef>
          </c:cat>
          <c:val>
            <c:numRef>
              <c:f>'Gráficos deuda'!$Y$10:$AL$10</c:f>
              <c:numCache>
                <c:formatCode>0.0</c:formatCode>
                <c:ptCount val="14"/>
                <c:pt idx="0">
                  <c:v>57.943457330808265</c:v>
                </c:pt>
                <c:pt idx="1">
                  <c:v>56.718977359962643</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7-7E41-0840-AA5C-25F27809343E}"/>
            </c:ext>
          </c:extLst>
        </c:ser>
        <c:ser>
          <c:idx val="1"/>
          <c:order val="1"/>
          <c:tx>
            <c:strRef>
              <c:f>'Gráficos deuda'!$A$13</c:f>
              <c:strCache>
                <c:ptCount val="1"/>
                <c:pt idx="0">
                  <c:v>MFMP 2024</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1200" b="1" i="0" u="none" strike="noStrike" kern="1200" baseline="0">
                    <a:solidFill>
                      <a:srgbClr val="0070C0"/>
                    </a:solidFill>
                    <a:latin typeface="Helvetica" pitchFamily="2" charset="0"/>
                    <a:ea typeface="+mn-ea"/>
                    <a:cs typeface="+mn-cs"/>
                  </a:defRPr>
                </a:pPr>
                <a:endParaRPr lang="en-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deuda'!$Y$5:$AL$5</c:f>
              <c:numCache>
                <c:formatCode>General</c:formatCod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numCache>
            </c:numRef>
          </c:cat>
          <c:val>
            <c:numRef>
              <c:f>'Gráficos deuda'!$Y$13:$AL$13</c:f>
              <c:numCache>
                <c:formatCode>0.0</c:formatCode>
                <c:ptCount val="14"/>
                <c:pt idx="0">
                  <c:v>57.943457330808265</c:v>
                </c:pt>
                <c:pt idx="1">
                  <c:v>56.718977359962643</c:v>
                </c:pt>
                <c:pt idx="2">
                  <c:v>55.255646594715493</c:v>
                </c:pt>
                <c:pt idx="3">
                  <c:v>56.463851150928747</c:v>
                </c:pt>
                <c:pt idx="4">
                  <c:v>56.641157420954457</c:v>
                </c:pt>
                <c:pt idx="5">
                  <c:v>56.600377915866964</c:v>
                </c:pt>
                <c:pt idx="6">
                  <c:v>56.680860277307374</c:v>
                </c:pt>
                <c:pt idx="7">
                  <c:v>56.510542547969969</c:v>
                </c:pt>
                <c:pt idx="8">
                  <c:v>56.258096232265729</c:v>
                </c:pt>
                <c:pt idx="9">
                  <c:v>56.077147680684959</c:v>
                </c:pt>
                <c:pt idx="10">
                  <c:v>55.845617550628916</c:v>
                </c:pt>
                <c:pt idx="11">
                  <c:v>55.648561553455046</c:v>
                </c:pt>
                <c:pt idx="12">
                  <c:v>55.542492560638834</c:v>
                </c:pt>
                <c:pt idx="13">
                  <c:v>55.449678371692116</c:v>
                </c:pt>
              </c:numCache>
            </c:numRef>
          </c:val>
          <c:smooth val="0"/>
          <c:extLst>
            <c:ext xmlns:c16="http://schemas.microsoft.com/office/drawing/2014/chart" uri="{C3380CC4-5D6E-409C-BE32-E72D297353CC}">
              <c16:uniqueId val="{00000014-7E41-0840-AA5C-25F27809343E}"/>
            </c:ext>
          </c:extLst>
        </c:ser>
        <c:ser>
          <c:idx val="3"/>
          <c:order val="2"/>
          <c:tx>
            <c:v>Ancla</c:v>
          </c:tx>
          <c:spPr>
            <a:ln w="19050" cap="rnd">
              <a:solidFill>
                <a:schemeClr val="accent6"/>
              </a:solidFill>
              <a:prstDash val="sysDash"/>
              <a:round/>
            </a:ln>
            <a:effectLst/>
          </c:spPr>
          <c:marker>
            <c:symbol val="none"/>
          </c:marker>
          <c:val>
            <c:numRef>
              <c:f>'Gráficos deuda'!$Y$21:$AL$21</c:f>
              <c:numCache>
                <c:formatCode>General</c:formatCode>
                <c:ptCount val="14"/>
                <c:pt idx="0">
                  <c:v>55</c:v>
                </c:pt>
                <c:pt idx="1">
                  <c:v>55</c:v>
                </c:pt>
                <c:pt idx="2">
                  <c:v>55</c:v>
                </c:pt>
                <c:pt idx="3">
                  <c:v>55</c:v>
                </c:pt>
                <c:pt idx="4">
                  <c:v>55</c:v>
                </c:pt>
                <c:pt idx="5">
                  <c:v>55</c:v>
                </c:pt>
                <c:pt idx="6">
                  <c:v>55</c:v>
                </c:pt>
                <c:pt idx="7">
                  <c:v>55</c:v>
                </c:pt>
                <c:pt idx="8">
                  <c:v>55</c:v>
                </c:pt>
                <c:pt idx="9">
                  <c:v>55</c:v>
                </c:pt>
                <c:pt idx="10">
                  <c:v>55</c:v>
                </c:pt>
                <c:pt idx="11">
                  <c:v>55</c:v>
                </c:pt>
                <c:pt idx="12">
                  <c:v>55</c:v>
                </c:pt>
                <c:pt idx="13">
                  <c:v>55</c:v>
                </c:pt>
              </c:numCache>
            </c:numRef>
          </c:val>
          <c:smooth val="0"/>
          <c:extLst>
            <c:ext xmlns:c16="http://schemas.microsoft.com/office/drawing/2014/chart" uri="{C3380CC4-5D6E-409C-BE32-E72D297353CC}">
              <c16:uniqueId val="{00000020-7E41-0840-AA5C-25F27809343E}"/>
            </c:ext>
          </c:extLst>
        </c:ser>
        <c:ser>
          <c:idx val="4"/>
          <c:order val="3"/>
          <c:tx>
            <c:v>Límite</c:v>
          </c:tx>
          <c:spPr>
            <a:ln w="28575" cap="rnd">
              <a:solidFill>
                <a:schemeClr val="accent5"/>
              </a:solidFill>
              <a:round/>
            </a:ln>
            <a:effectLst/>
          </c:spPr>
          <c:marker>
            <c:symbol val="none"/>
          </c:marker>
          <c:val>
            <c:numRef>
              <c:f>'Gráficos deuda'!$Y$22:$AL$22</c:f>
              <c:numCache>
                <c:formatCode>General</c:formatCode>
                <c:ptCount val="14"/>
                <c:pt idx="0">
                  <c:v>71</c:v>
                </c:pt>
                <c:pt idx="1">
                  <c:v>71</c:v>
                </c:pt>
                <c:pt idx="2">
                  <c:v>71</c:v>
                </c:pt>
                <c:pt idx="3">
                  <c:v>71</c:v>
                </c:pt>
                <c:pt idx="4">
                  <c:v>71</c:v>
                </c:pt>
                <c:pt idx="5">
                  <c:v>71</c:v>
                </c:pt>
                <c:pt idx="6">
                  <c:v>71</c:v>
                </c:pt>
                <c:pt idx="7">
                  <c:v>71</c:v>
                </c:pt>
                <c:pt idx="8">
                  <c:v>71</c:v>
                </c:pt>
                <c:pt idx="9">
                  <c:v>71</c:v>
                </c:pt>
                <c:pt idx="10">
                  <c:v>71</c:v>
                </c:pt>
                <c:pt idx="11">
                  <c:v>71</c:v>
                </c:pt>
                <c:pt idx="12">
                  <c:v>71</c:v>
                </c:pt>
                <c:pt idx="13">
                  <c:v>71</c:v>
                </c:pt>
              </c:numCache>
            </c:numRef>
          </c:val>
          <c:smooth val="0"/>
          <c:extLst>
            <c:ext xmlns:c16="http://schemas.microsoft.com/office/drawing/2014/chart" uri="{C3380CC4-5D6E-409C-BE32-E72D297353CC}">
              <c16:uniqueId val="{00000021-7E41-0840-AA5C-25F27809343E}"/>
            </c:ext>
          </c:extLst>
        </c:ser>
        <c:dLbls>
          <c:showLegendKey val="0"/>
          <c:showVal val="0"/>
          <c:showCatName val="0"/>
          <c:showSerName val="0"/>
          <c:showPercent val="0"/>
          <c:showBubbleSize val="0"/>
        </c:dLbls>
        <c:smooth val="0"/>
        <c:axId val="592469535"/>
        <c:axId val="593406943"/>
      </c:lineChart>
      <c:catAx>
        <c:axId val="59246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593406943"/>
        <c:crosses val="autoZero"/>
        <c:auto val="1"/>
        <c:lblAlgn val="ctr"/>
        <c:lblOffset val="100"/>
        <c:noMultiLvlLbl val="0"/>
      </c:catAx>
      <c:valAx>
        <c:axId val="593406943"/>
        <c:scaling>
          <c:orientation val="minMax"/>
          <c:max val="65"/>
          <c:min val="5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592469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3E6B"/>
          </a:solidFill>
          <a:latin typeface="Helvetica" pitchFamily="2" charset="0"/>
        </a:defRPr>
      </a:pPr>
      <a:endParaRPr lang="en-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003E6B"/>
                </a:solidFill>
                <a:latin typeface="Helvetica" pitchFamily="2" charset="0"/>
                <a:ea typeface="+mn-ea"/>
                <a:cs typeface="+mn-cs"/>
              </a:defRPr>
            </a:pPr>
            <a:r>
              <a:rPr lang="es-CO" b="1"/>
              <a:t>Cupón promedio</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003E6B"/>
              </a:solidFill>
              <a:latin typeface="Helvetica" pitchFamily="2" charset="0"/>
              <a:ea typeface="+mn-ea"/>
              <a:cs typeface="+mn-cs"/>
            </a:defRPr>
          </a:pPr>
          <a:endParaRPr lang="en-CO"/>
        </a:p>
      </c:txPr>
    </c:title>
    <c:autoTitleDeleted val="0"/>
    <c:plotArea>
      <c:layout>
        <c:manualLayout>
          <c:layoutTarget val="inner"/>
          <c:xMode val="edge"/>
          <c:yMode val="edge"/>
          <c:x val="1.7371867041218968E-2"/>
          <c:y val="5.2632677647441437E-2"/>
          <c:w val="0.96988369932340113"/>
          <c:h val="0.68728671645168593"/>
        </c:manualLayout>
      </c:layout>
      <c:lineChart>
        <c:grouping val="standard"/>
        <c:varyColors val="0"/>
        <c:ser>
          <c:idx val="0"/>
          <c:order val="0"/>
          <c:tx>
            <c:strRef>
              <c:f>'Deuda GNC'!$A$147</c:f>
              <c:strCache>
                <c:ptCount val="1"/>
                <c:pt idx="0">
                  <c:v>Cupón interno MHCP</c:v>
                </c:pt>
              </c:strCache>
            </c:strRef>
          </c:tx>
          <c:spPr>
            <a:ln w="22225" cap="rnd">
              <a:solidFill>
                <a:schemeClr val="accent1"/>
              </a:solidFill>
              <a:round/>
            </a:ln>
            <a:effectLst/>
          </c:spPr>
          <c:marker>
            <c:symbol val="none"/>
          </c:marker>
          <c:dLbls>
            <c:numFmt formatCode="#,##0.0" sourceLinked="0"/>
            <c:spPr>
              <a:noFill/>
              <a:ln>
                <a:noFill/>
              </a:ln>
              <a:effectLst/>
            </c:spPr>
            <c:txPr>
              <a:bodyPr rot="0" spcFirstLastPara="1" vertOverflow="ellipsis" vert="horz" wrap="square" anchor="ctr" anchorCtr="1"/>
              <a:lstStyle/>
              <a:p>
                <a:pPr>
                  <a:defRPr sz="1100" b="1" i="0" u="none" strike="noStrike" kern="1200" baseline="0">
                    <a:solidFill>
                      <a:srgbClr val="003E6B"/>
                    </a:solidFill>
                    <a:latin typeface="Helvetica" pitchFamily="2" charset="0"/>
                    <a:ea typeface="+mn-ea"/>
                    <a:cs typeface="+mn-cs"/>
                  </a:defRPr>
                </a:pPr>
                <a:endParaRPr lang="en-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GNC'!$E$146:$AJ$146</c:f>
              <c:numCache>
                <c:formatCode>0</c:formatCode>
                <c:ptCount val="3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numCache>
            </c:numRef>
          </c:cat>
          <c:val>
            <c:numRef>
              <c:f>'Deuda GNC'!$E$147:$AJ$147</c:f>
              <c:numCache>
                <c:formatCode>#,##0.0</c:formatCode>
                <c:ptCount val="32"/>
                <c:pt idx="0">
                  <c:v>12.291591551997881</c:v>
                </c:pt>
                <c:pt idx="1">
                  <c:v>13.584888961592931</c:v>
                </c:pt>
                <c:pt idx="2">
                  <c:v>12.024921522464126</c:v>
                </c:pt>
                <c:pt idx="3">
                  <c:v>11.688620594447857</c:v>
                </c:pt>
                <c:pt idx="4">
                  <c:v>11.464893810830784</c:v>
                </c:pt>
                <c:pt idx="5">
                  <c:v>11.211168519435184</c:v>
                </c:pt>
                <c:pt idx="6">
                  <c:v>10.798210772061696</c:v>
                </c:pt>
                <c:pt idx="7">
                  <c:v>9.8100682557695293</c:v>
                </c:pt>
                <c:pt idx="8">
                  <c:v>8.6058235655693043</c:v>
                </c:pt>
                <c:pt idx="9">
                  <c:v>8.8443583594185409</c:v>
                </c:pt>
                <c:pt idx="10">
                  <c:v>8.8155810589497001</c:v>
                </c:pt>
                <c:pt idx="11">
                  <c:v>8.086803031186939</c:v>
                </c:pt>
                <c:pt idx="12">
                  <c:v>7.9042645983919035</c:v>
                </c:pt>
                <c:pt idx="13">
                  <c:v>8.260427633058482</c:v>
                </c:pt>
                <c:pt idx="14">
                  <c:v>9.2940439515709947</c:v>
                </c:pt>
                <c:pt idx="15">
                  <c:v>8.1506334766633231</c:v>
                </c:pt>
                <c:pt idx="16">
                  <c:v>7.662767359881685</c:v>
                </c:pt>
                <c:pt idx="17">
                  <c:v>7.6237035019652062</c:v>
                </c:pt>
                <c:pt idx="18">
                  <c:v>7.0602430157959626</c:v>
                </c:pt>
                <c:pt idx="19">
                  <c:v>7.1469813176470396</c:v>
                </c:pt>
                <c:pt idx="20">
                  <c:v>9.65</c:v>
                </c:pt>
                <c:pt idx="21">
                  <c:v>10.417209986845799</c:v>
                </c:pt>
              </c:numCache>
            </c:numRef>
          </c:val>
          <c:smooth val="0"/>
          <c:extLst>
            <c:ext xmlns:c16="http://schemas.microsoft.com/office/drawing/2014/chart" uri="{C3380CC4-5D6E-409C-BE32-E72D297353CC}">
              <c16:uniqueId val="{00000000-A65A-3847-B383-80FC03A24D3A}"/>
            </c:ext>
          </c:extLst>
        </c:ser>
        <c:ser>
          <c:idx val="1"/>
          <c:order val="1"/>
          <c:tx>
            <c:strRef>
              <c:f>'Deuda GNC'!$A$148</c:f>
              <c:strCache>
                <c:ptCount val="1"/>
                <c:pt idx="0">
                  <c:v>Cupón externo MHCP</c:v>
                </c:pt>
              </c:strCache>
            </c:strRef>
          </c:tx>
          <c:spPr>
            <a:ln w="22225" cap="rnd">
              <a:solidFill>
                <a:srgbClr val="C00000"/>
              </a:solidFill>
              <a:round/>
            </a:ln>
            <a:effectLst/>
          </c:spPr>
          <c:marker>
            <c:symbol val="none"/>
          </c:marker>
          <c:dLbls>
            <c:dLbl>
              <c:idx val="19"/>
              <c:layout>
                <c:manualLayout>
                  <c:x val="-2.7744833992533725E-2"/>
                  <c:y val="1.8662152071943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5A-3847-B383-80FC03A24D3A}"/>
                </c:ext>
              </c:extLst>
            </c:dLbl>
            <c:dLbl>
              <c:idx val="20"/>
              <c:layout>
                <c:manualLayout>
                  <c:x val="-2.3138094731283282E-2"/>
                  <c:y val="3.9970703296734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5A-3847-B383-80FC03A24D3A}"/>
                </c:ext>
              </c:extLst>
            </c:dLbl>
            <c:numFmt formatCode="#,##0.0" sourceLinked="0"/>
            <c:spPr>
              <a:noFill/>
              <a:ln>
                <a:noFill/>
              </a:ln>
              <a:effectLst/>
            </c:spPr>
            <c:txPr>
              <a:bodyPr rot="0" spcFirstLastPara="1" vertOverflow="ellipsis" vert="horz" wrap="square" anchor="ctr" anchorCtr="1"/>
              <a:lstStyle/>
              <a:p>
                <a:pPr>
                  <a:defRPr sz="1100" b="1" i="0" u="none" strike="noStrike" kern="1200" baseline="0">
                    <a:solidFill>
                      <a:srgbClr val="C00000"/>
                    </a:solidFill>
                    <a:latin typeface="Helvetica" pitchFamily="2" charset="0"/>
                    <a:ea typeface="+mn-ea"/>
                    <a:cs typeface="+mn-cs"/>
                  </a:defRPr>
                </a:pPr>
                <a:endParaRPr lang="en-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GNC'!$E$146:$AJ$146</c:f>
              <c:numCache>
                <c:formatCode>0</c:formatCode>
                <c:ptCount val="3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numCache>
            </c:numRef>
          </c:cat>
          <c:val>
            <c:numRef>
              <c:f>'Deuda GNC'!$E$148:$AJ$148</c:f>
              <c:numCache>
                <c:formatCode>#,##0.0</c:formatCode>
                <c:ptCount val="32"/>
                <c:pt idx="0">
                  <c:v>9.8731380705652398</c:v>
                </c:pt>
                <c:pt idx="1">
                  <c:v>8.7385716535164413</c:v>
                </c:pt>
                <c:pt idx="2">
                  <c:v>8.6506545051626684</c:v>
                </c:pt>
                <c:pt idx="3">
                  <c:v>7.9595656500165841</c:v>
                </c:pt>
                <c:pt idx="4">
                  <c:v>7.6872266464385479</c:v>
                </c:pt>
                <c:pt idx="5">
                  <c:v>7.2439102299643583</c:v>
                </c:pt>
                <c:pt idx="6">
                  <c:v>6.6501125899619495</c:v>
                </c:pt>
                <c:pt idx="7">
                  <c:v>6.0673414232479743</c:v>
                </c:pt>
                <c:pt idx="8">
                  <c:v>5.6956356180200052</c:v>
                </c:pt>
                <c:pt idx="9">
                  <c:v>5.3713266451558379</c:v>
                </c:pt>
                <c:pt idx="10">
                  <c:v>5.1098026507261149</c:v>
                </c:pt>
                <c:pt idx="11">
                  <c:v>5.1980443632671571</c:v>
                </c:pt>
                <c:pt idx="12">
                  <c:v>5.9664970693137223</c:v>
                </c:pt>
                <c:pt idx="13">
                  <c:v>5.5472781935372613</c:v>
                </c:pt>
                <c:pt idx="14">
                  <c:v>5.1984309261764174</c:v>
                </c:pt>
                <c:pt idx="15">
                  <c:v>5.1617233429765106</c:v>
                </c:pt>
                <c:pt idx="16">
                  <c:v>5.5149195531755453</c:v>
                </c:pt>
                <c:pt idx="17">
                  <c:v>4.955019316880132</c:v>
                </c:pt>
                <c:pt idx="18">
                  <c:v>3.9851204772163777</c:v>
                </c:pt>
                <c:pt idx="19">
                  <c:v>3.6516969561891202</c:v>
                </c:pt>
                <c:pt idx="20">
                  <c:v>4.2300000000000004</c:v>
                </c:pt>
                <c:pt idx="21">
                  <c:v>5.01088869366325</c:v>
                </c:pt>
              </c:numCache>
            </c:numRef>
          </c:val>
          <c:smooth val="0"/>
          <c:extLst>
            <c:ext xmlns:c16="http://schemas.microsoft.com/office/drawing/2014/chart" uri="{C3380CC4-5D6E-409C-BE32-E72D297353CC}">
              <c16:uniqueId val="{00000003-A65A-3847-B383-80FC03A24D3A}"/>
            </c:ext>
          </c:extLst>
        </c:ser>
        <c:ser>
          <c:idx val="2"/>
          <c:order val="2"/>
          <c:tx>
            <c:strRef>
              <c:f>'Deuda GNC'!$A$120</c:f>
              <c:strCache>
                <c:ptCount val="1"/>
                <c:pt idx="0">
                  <c:v>Tasa interna modelo</c:v>
                </c:pt>
              </c:strCache>
            </c:strRef>
          </c:tx>
          <c:spPr>
            <a:ln w="28575" cap="rnd">
              <a:solidFill>
                <a:schemeClr val="accent1"/>
              </a:solidFill>
              <a:prstDash val="sysDash"/>
              <a:round/>
            </a:ln>
            <a:effectLst/>
          </c:spPr>
          <c:marker>
            <c:symbol val="none"/>
          </c:marker>
          <c:dLbls>
            <c:dLbl>
              <c:idx val="20"/>
              <c:delete val="1"/>
              <c:extLst>
                <c:ext xmlns:c15="http://schemas.microsoft.com/office/drawing/2012/chart" uri="{CE6537A1-D6FC-4f65-9D91-7224C49458BB}"/>
                <c:ext xmlns:c16="http://schemas.microsoft.com/office/drawing/2014/chart" uri="{C3380CC4-5D6E-409C-BE32-E72D297353CC}">
                  <c16:uniqueId val="{00000004-A65A-3847-B383-80FC03A24D3A}"/>
                </c:ext>
              </c:extLst>
            </c:dLbl>
            <c:dLbl>
              <c:idx val="25"/>
              <c:layout>
                <c:manualLayout>
                  <c:x val="-2.6101111111111241E-2"/>
                  <c:y val="2.10833743236596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5A-3847-B383-80FC03A24D3A}"/>
                </c:ext>
              </c:extLst>
            </c:dLbl>
            <c:spPr>
              <a:noFill/>
              <a:ln>
                <a:noFill/>
              </a:ln>
              <a:effectLst/>
            </c:spPr>
            <c:txPr>
              <a:bodyPr rot="0" spcFirstLastPara="1" vertOverflow="ellipsis" vert="horz" wrap="square" anchor="ctr" anchorCtr="1"/>
              <a:lstStyle/>
              <a:p>
                <a:pPr>
                  <a:defRPr sz="1050" b="1" i="0" u="none" strike="noStrike" kern="1200" baseline="0">
                    <a:solidFill>
                      <a:srgbClr val="003E6B"/>
                    </a:solidFill>
                    <a:latin typeface="Helvetica" pitchFamily="2" charset="0"/>
                    <a:ea typeface="+mn-ea"/>
                    <a:cs typeface="+mn-cs"/>
                  </a:defRPr>
                </a:pPr>
                <a:endParaRPr lang="en-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GNC'!$E$146:$AJ$146</c:f>
              <c:numCache>
                <c:formatCode>0</c:formatCode>
                <c:ptCount val="3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numCache>
            </c:numRef>
          </c:cat>
          <c:val>
            <c:numRef>
              <c:f>'Deuda GNC'!$E$120:$AJ$120</c:f>
              <c:numCache>
                <c:formatCode>#,##0.0</c:formatCode>
                <c:ptCount val="32"/>
                <c:pt idx="22">
                  <c:v>0</c:v>
                </c:pt>
                <c:pt idx="23">
                  <c:v>0</c:v>
                </c:pt>
                <c:pt idx="24">
                  <c:v>0</c:v>
                </c:pt>
                <c:pt idx="25">
                  <c:v>0</c:v>
                </c:pt>
                <c:pt idx="26">
                  <c:v>0</c:v>
                </c:pt>
                <c:pt idx="27">
                  <c:v>0</c:v>
                </c:pt>
                <c:pt idx="28">
                  <c:v>0</c:v>
                </c:pt>
                <c:pt idx="29">
                  <c:v>0</c:v>
                </c:pt>
                <c:pt idx="30">
                  <c:v>0</c:v>
                </c:pt>
                <c:pt idx="31">
                  <c:v>0</c:v>
                </c:pt>
              </c:numCache>
            </c:numRef>
          </c:val>
          <c:smooth val="0"/>
          <c:extLst>
            <c:ext xmlns:c16="http://schemas.microsoft.com/office/drawing/2014/chart" uri="{C3380CC4-5D6E-409C-BE32-E72D297353CC}">
              <c16:uniqueId val="{00000006-A65A-3847-B383-80FC03A24D3A}"/>
            </c:ext>
          </c:extLst>
        </c:ser>
        <c:ser>
          <c:idx val="3"/>
          <c:order val="3"/>
          <c:tx>
            <c:strRef>
              <c:f>'Deuda GNC'!$A$121</c:f>
              <c:strCache>
                <c:ptCount val="1"/>
                <c:pt idx="0">
                  <c:v>Tasa externa modelo</c:v>
                </c:pt>
              </c:strCache>
            </c:strRef>
          </c:tx>
          <c:spPr>
            <a:ln w="28575" cap="rnd">
              <a:solidFill>
                <a:srgbClr val="C00000"/>
              </a:solidFill>
              <a:prstDash val="sysDash"/>
              <a:round/>
            </a:ln>
            <a:effectLst/>
          </c:spPr>
          <c:marker>
            <c:symbol val="none"/>
          </c:marker>
          <c:dLbls>
            <c:dLbl>
              <c:idx val="20"/>
              <c:delete val="1"/>
              <c:extLst>
                <c:ext xmlns:c15="http://schemas.microsoft.com/office/drawing/2012/chart" uri="{CE6537A1-D6FC-4f65-9D91-7224C49458BB}"/>
                <c:ext xmlns:c16="http://schemas.microsoft.com/office/drawing/2014/chart" uri="{C3380CC4-5D6E-409C-BE32-E72D297353CC}">
                  <c16:uniqueId val="{00000007-A65A-3847-B383-80FC03A24D3A}"/>
                </c:ext>
              </c:extLst>
            </c:dLbl>
            <c:spPr>
              <a:noFill/>
              <a:ln>
                <a:noFill/>
              </a:ln>
              <a:effectLst/>
            </c:spPr>
            <c:txPr>
              <a:bodyPr rot="0" spcFirstLastPara="1" vertOverflow="ellipsis" vert="horz" wrap="square" anchor="ctr" anchorCtr="1"/>
              <a:lstStyle/>
              <a:p>
                <a:pPr>
                  <a:defRPr sz="1050" b="1" i="0" u="none" strike="noStrike" kern="1200" baseline="0">
                    <a:solidFill>
                      <a:srgbClr val="C00000"/>
                    </a:solidFill>
                    <a:latin typeface="Helvetica" pitchFamily="2" charset="0"/>
                    <a:ea typeface="+mn-ea"/>
                    <a:cs typeface="+mn-cs"/>
                  </a:defRPr>
                </a:pPr>
                <a:endParaRPr lang="en-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GNC'!$E$146:$AJ$146</c:f>
              <c:numCache>
                <c:formatCode>0</c:formatCode>
                <c:ptCount val="3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pt idx="24">
                  <c:v>2026</c:v>
                </c:pt>
                <c:pt idx="25">
                  <c:v>2027</c:v>
                </c:pt>
                <c:pt idx="26">
                  <c:v>2028</c:v>
                </c:pt>
                <c:pt idx="27">
                  <c:v>2029</c:v>
                </c:pt>
                <c:pt idx="28">
                  <c:v>2030</c:v>
                </c:pt>
                <c:pt idx="29">
                  <c:v>2031</c:v>
                </c:pt>
                <c:pt idx="30">
                  <c:v>2032</c:v>
                </c:pt>
                <c:pt idx="31">
                  <c:v>2033</c:v>
                </c:pt>
              </c:numCache>
            </c:numRef>
          </c:cat>
          <c:val>
            <c:numRef>
              <c:f>'Deuda GNC'!$E$121:$AJ$121</c:f>
              <c:numCache>
                <c:formatCode>#,##0.0</c:formatCode>
                <c:ptCount val="32"/>
                <c:pt idx="22">
                  <c:v>0</c:v>
                </c:pt>
                <c:pt idx="23">
                  <c:v>0</c:v>
                </c:pt>
                <c:pt idx="24">
                  <c:v>0</c:v>
                </c:pt>
                <c:pt idx="25">
                  <c:v>0</c:v>
                </c:pt>
                <c:pt idx="26">
                  <c:v>0</c:v>
                </c:pt>
                <c:pt idx="27">
                  <c:v>0</c:v>
                </c:pt>
                <c:pt idx="28">
                  <c:v>0</c:v>
                </c:pt>
                <c:pt idx="29">
                  <c:v>0</c:v>
                </c:pt>
                <c:pt idx="30">
                  <c:v>0</c:v>
                </c:pt>
                <c:pt idx="31">
                  <c:v>0</c:v>
                </c:pt>
              </c:numCache>
            </c:numRef>
          </c:val>
          <c:smooth val="0"/>
          <c:extLst>
            <c:ext xmlns:c16="http://schemas.microsoft.com/office/drawing/2014/chart" uri="{C3380CC4-5D6E-409C-BE32-E72D297353CC}">
              <c16:uniqueId val="{00000008-A65A-3847-B383-80FC03A24D3A}"/>
            </c:ext>
          </c:extLst>
        </c:ser>
        <c:dLbls>
          <c:showLegendKey val="0"/>
          <c:showVal val="0"/>
          <c:showCatName val="0"/>
          <c:showSerName val="0"/>
          <c:showPercent val="0"/>
          <c:showBubbleSize val="0"/>
        </c:dLbls>
        <c:smooth val="0"/>
        <c:axId val="1140531520"/>
        <c:axId val="1140533200"/>
      </c:lineChart>
      <c:catAx>
        <c:axId val="114053152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1140533200"/>
        <c:crosses val="autoZero"/>
        <c:auto val="1"/>
        <c:lblAlgn val="ctr"/>
        <c:lblOffset val="100"/>
        <c:noMultiLvlLbl val="0"/>
      </c:catAx>
      <c:valAx>
        <c:axId val="1140533200"/>
        <c:scaling>
          <c:orientation val="minMax"/>
          <c:min val="2"/>
        </c:scaling>
        <c:delete val="1"/>
        <c:axPos val="l"/>
        <c:numFmt formatCode="#,##0.0" sourceLinked="1"/>
        <c:majorTickMark val="out"/>
        <c:minorTickMark val="none"/>
        <c:tickLblPos val="nextTo"/>
        <c:crossAx val="1140531520"/>
        <c:crosses val="autoZero"/>
        <c:crossBetween val="between"/>
      </c:valAx>
      <c:spPr>
        <a:noFill/>
        <a:ln>
          <a:noFill/>
        </a:ln>
        <a:effectLst/>
      </c:spPr>
    </c:plotArea>
    <c:legend>
      <c:legendPos val="b"/>
      <c:layout>
        <c:manualLayout>
          <c:xMode val="edge"/>
          <c:yMode val="edge"/>
          <c:x val="1.9581652766695448E-2"/>
          <c:y val="0.89675162037037037"/>
          <c:w val="0.95736439195100609"/>
          <c:h val="9.7915277777777782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3E6B"/>
          </a:solidFill>
          <a:latin typeface="Helvetica" pitchFamily="2" charset="0"/>
        </a:defRPr>
      </a:pPr>
      <a:endParaRPr lang="en-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003E6B"/>
                </a:solidFill>
                <a:latin typeface="Helvetica" pitchFamily="2" charset="0"/>
                <a:ea typeface="+mn-ea"/>
                <a:cs typeface="+mn-cs"/>
              </a:defRPr>
            </a:pPr>
            <a:r>
              <a:rPr lang="es-CO" b="1"/>
              <a:t>Tasa de interés implícita</a:t>
            </a:r>
          </a:p>
        </c:rich>
      </c:tx>
      <c:overlay val="0"/>
      <c:spPr>
        <a:noFill/>
        <a:ln>
          <a:noFill/>
        </a:ln>
        <a:effectLst/>
      </c:spPr>
    </c:title>
    <c:autoTitleDeleted val="0"/>
    <c:plotArea>
      <c:layout>
        <c:manualLayout>
          <c:layoutTarget val="inner"/>
          <c:xMode val="edge"/>
          <c:yMode val="edge"/>
          <c:x val="1.7371805555555554E-2"/>
          <c:y val="8.1414351851851821E-3"/>
          <c:w val="0.96988369932340113"/>
          <c:h val="0.76812800925925917"/>
        </c:manualLayout>
      </c:layout>
      <c:lineChart>
        <c:grouping val="standard"/>
        <c:varyColors val="0"/>
        <c:ser>
          <c:idx val="2"/>
          <c:order val="0"/>
          <c:tx>
            <c:v>Interna</c:v>
          </c:tx>
          <c:spPr>
            <a:ln w="15875">
              <a:solidFill>
                <a:schemeClr val="accent1"/>
              </a:solidFill>
            </a:ln>
          </c:spPr>
          <c:marker>
            <c:symbol val="none"/>
          </c:marker>
          <c:dPt>
            <c:idx val="23"/>
            <c:bubble3D val="0"/>
            <c:spPr>
              <a:ln w="15875" cap="rnd">
                <a:solidFill>
                  <a:schemeClr val="accent1"/>
                </a:solidFill>
                <a:prstDash val="sysDash"/>
                <a:round/>
              </a:ln>
              <a:effectLst/>
            </c:spPr>
            <c:extLst>
              <c:ext xmlns:c16="http://schemas.microsoft.com/office/drawing/2014/chart" uri="{C3380CC4-5D6E-409C-BE32-E72D297353CC}">
                <c16:uniqueId val="{00000001-FB65-3D4A-A0BD-7353EFFAA174}"/>
              </c:ext>
            </c:extLst>
          </c:dPt>
          <c:dLbls>
            <c:dLbl>
              <c:idx val="1"/>
              <c:delete val="1"/>
              <c:extLst>
                <c:ext xmlns:c15="http://schemas.microsoft.com/office/drawing/2012/chart" uri="{CE6537A1-D6FC-4f65-9D91-7224C49458BB}"/>
                <c:ext xmlns:c16="http://schemas.microsoft.com/office/drawing/2014/chart" uri="{C3380CC4-5D6E-409C-BE32-E72D297353CC}">
                  <c16:uniqueId val="{00000002-FB65-3D4A-A0BD-7353EFFAA174}"/>
                </c:ext>
              </c:extLst>
            </c:dLbl>
            <c:dLbl>
              <c:idx val="2"/>
              <c:delete val="1"/>
              <c:extLst>
                <c:ext xmlns:c15="http://schemas.microsoft.com/office/drawing/2012/chart" uri="{CE6537A1-D6FC-4f65-9D91-7224C49458BB}"/>
                <c:ext xmlns:c16="http://schemas.microsoft.com/office/drawing/2014/chart" uri="{C3380CC4-5D6E-409C-BE32-E72D297353CC}">
                  <c16:uniqueId val="{00000003-FB65-3D4A-A0BD-7353EFFAA174}"/>
                </c:ext>
              </c:extLst>
            </c:dLbl>
            <c:dLbl>
              <c:idx val="3"/>
              <c:delete val="1"/>
              <c:extLst>
                <c:ext xmlns:c15="http://schemas.microsoft.com/office/drawing/2012/chart" uri="{CE6537A1-D6FC-4f65-9D91-7224C49458BB}"/>
                <c:ext xmlns:c16="http://schemas.microsoft.com/office/drawing/2014/chart" uri="{C3380CC4-5D6E-409C-BE32-E72D297353CC}">
                  <c16:uniqueId val="{00000004-FB65-3D4A-A0BD-7353EFFAA174}"/>
                </c:ext>
              </c:extLst>
            </c:dLbl>
            <c:dLbl>
              <c:idx val="5"/>
              <c:delete val="1"/>
              <c:extLst>
                <c:ext xmlns:c15="http://schemas.microsoft.com/office/drawing/2012/chart" uri="{CE6537A1-D6FC-4f65-9D91-7224C49458BB}"/>
                <c:ext xmlns:c16="http://schemas.microsoft.com/office/drawing/2014/chart" uri="{C3380CC4-5D6E-409C-BE32-E72D297353CC}">
                  <c16:uniqueId val="{00000005-FB65-3D4A-A0BD-7353EFFAA174}"/>
                </c:ext>
              </c:extLst>
            </c:dLbl>
            <c:dLbl>
              <c:idx val="8"/>
              <c:delete val="1"/>
              <c:extLst>
                <c:ext xmlns:c15="http://schemas.microsoft.com/office/drawing/2012/chart" uri="{CE6537A1-D6FC-4f65-9D91-7224C49458BB}"/>
                <c:ext xmlns:c16="http://schemas.microsoft.com/office/drawing/2014/chart" uri="{C3380CC4-5D6E-409C-BE32-E72D297353CC}">
                  <c16:uniqueId val="{00000006-FB65-3D4A-A0BD-7353EFFAA174}"/>
                </c:ext>
              </c:extLst>
            </c:dLbl>
            <c:dLbl>
              <c:idx val="9"/>
              <c:delete val="1"/>
              <c:extLst>
                <c:ext xmlns:c15="http://schemas.microsoft.com/office/drawing/2012/chart" uri="{CE6537A1-D6FC-4f65-9D91-7224C49458BB}"/>
                <c:ext xmlns:c16="http://schemas.microsoft.com/office/drawing/2014/chart" uri="{C3380CC4-5D6E-409C-BE32-E72D297353CC}">
                  <c16:uniqueId val="{00000007-FB65-3D4A-A0BD-7353EFFAA174}"/>
                </c:ext>
              </c:extLst>
            </c:dLbl>
            <c:dLbl>
              <c:idx val="23"/>
              <c:layout>
                <c:manualLayout>
                  <c:x val="-3.0843509543024353E-2"/>
                  <c:y val="2.61270007001890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65-3D4A-A0BD-7353EFFAA174}"/>
                </c:ext>
              </c:extLst>
            </c:dLbl>
            <c:spPr>
              <a:noFill/>
              <a:ln>
                <a:noFill/>
              </a:ln>
              <a:effectLst/>
            </c:spPr>
            <c:txPr>
              <a:bodyPr wrap="square" lIns="38100" tIns="19050" rIns="38100" bIns="19050" anchor="ctr">
                <a:spAutoFit/>
              </a:bodyPr>
              <a:lstStyle/>
              <a:p>
                <a:pPr>
                  <a:defRPr sz="900" b="1">
                    <a:solidFill>
                      <a:schemeClr val="accent1"/>
                    </a:solidFill>
                  </a:defRPr>
                </a:pPr>
                <a:endParaRPr lang="en-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'Deuda GNC'!$C$146:$AK$146</c:f>
              <c:numCache>
                <c:formatCode>0</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'Deuda GNC'!$C$124:$AK$124</c:f>
              <c:numCache>
                <c:formatCode>#,##0.0</c:formatCode>
                <c:ptCount val="35"/>
                <c:pt idx="0">
                  <c:v>15.461617430943225</c:v>
                </c:pt>
                <c:pt idx="1">
                  <c:v>11.13624066786188</c:v>
                </c:pt>
                <c:pt idx="2">
                  <c:v>9.8914538280504196</c:v>
                </c:pt>
                <c:pt idx="3">
                  <c:v>9.8757967460982119</c:v>
                </c:pt>
                <c:pt idx="4">
                  <c:v>9.9266340223810641</c:v>
                </c:pt>
                <c:pt idx="5">
                  <c:v>8.3664180543026898</c:v>
                </c:pt>
                <c:pt idx="6">
                  <c:v>10.860015938170047</c:v>
                </c:pt>
                <c:pt idx="7">
                  <c:v>12.340274079973087</c:v>
                </c:pt>
                <c:pt idx="8">
                  <c:v>10.993107378029773</c:v>
                </c:pt>
                <c:pt idx="9">
                  <c:v>9.8503815536483934</c:v>
                </c:pt>
                <c:pt idx="10">
                  <c:v>8.7088052929865611</c:v>
                </c:pt>
                <c:pt idx="11">
                  <c:v>9.1526679814100707</c:v>
                </c:pt>
                <c:pt idx="12">
                  <c:v>8.8971312783105514</c:v>
                </c:pt>
                <c:pt idx="13">
                  <c:v>7.8861440437383985</c:v>
                </c:pt>
                <c:pt idx="14">
                  <c:v>7.4521178673174164</c:v>
                </c:pt>
                <c:pt idx="15">
                  <c:v>7.9224177119106916</c:v>
                </c:pt>
                <c:pt idx="16">
                  <c:v>9.155220044864075</c:v>
                </c:pt>
                <c:pt idx="17">
                  <c:v>8.2131660084793978</c:v>
                </c:pt>
                <c:pt idx="18">
                  <c:v>7.7737175236158889</c:v>
                </c:pt>
                <c:pt idx="19">
                  <c:v>7.6629789442131795</c:v>
                </c:pt>
                <c:pt idx="20">
                  <c:v>5.7009993244509509</c:v>
                </c:pt>
                <c:pt idx="21">
                  <c:v>7.7651441499332519</c:v>
                </c:pt>
                <c:pt idx="22">
                  <c:v>12.094160433082724</c:v>
                </c:pt>
                <c:pt idx="23">
                  <c:v>9.645742790969889</c:v>
                </c:pt>
                <c:pt idx="24">
                  <c:v>10.669294376719629</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8-FB65-3D4A-A0BD-7353EFFAA174}"/>
            </c:ext>
          </c:extLst>
        </c:ser>
        <c:ser>
          <c:idx val="3"/>
          <c:order val="1"/>
          <c:tx>
            <c:v>Externa</c:v>
          </c:tx>
          <c:spPr>
            <a:ln w="15875">
              <a:solidFill>
                <a:srgbClr val="C00000"/>
              </a:solidFill>
            </a:ln>
          </c:spPr>
          <c:marker>
            <c:symbol val="none"/>
          </c:marker>
          <c:dPt>
            <c:idx val="23"/>
            <c:bubble3D val="0"/>
            <c:spPr>
              <a:ln w="15875" cap="rnd">
                <a:solidFill>
                  <a:srgbClr val="C00000"/>
                </a:solidFill>
                <a:prstDash val="sysDash"/>
                <a:round/>
              </a:ln>
              <a:effectLst/>
            </c:spPr>
            <c:extLst>
              <c:ext xmlns:c16="http://schemas.microsoft.com/office/drawing/2014/chart" uri="{C3380CC4-5D6E-409C-BE32-E72D297353CC}">
                <c16:uniqueId val="{0000000A-FB65-3D4A-A0BD-7353EFFAA174}"/>
              </c:ext>
            </c:extLst>
          </c:dPt>
          <c:dLbls>
            <c:dLbl>
              <c:idx val="0"/>
              <c:layout>
                <c:manualLayout>
                  <c:x val="-3.7992527587399211E-2"/>
                  <c:y val="-1.383194154715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65-3D4A-A0BD-7353EFFAA174}"/>
                </c:ext>
              </c:extLst>
            </c:dLbl>
            <c:dLbl>
              <c:idx val="1"/>
              <c:delete val="1"/>
              <c:extLst>
                <c:ext xmlns:c15="http://schemas.microsoft.com/office/drawing/2012/chart" uri="{CE6537A1-D6FC-4f65-9D91-7224C49458BB}"/>
                <c:ext xmlns:c16="http://schemas.microsoft.com/office/drawing/2014/chart" uri="{C3380CC4-5D6E-409C-BE32-E72D297353CC}">
                  <c16:uniqueId val="{0000000C-FB65-3D4A-A0BD-7353EFFAA174}"/>
                </c:ext>
              </c:extLst>
            </c:dLbl>
            <c:dLbl>
              <c:idx val="2"/>
              <c:delete val="1"/>
              <c:extLst>
                <c:ext xmlns:c15="http://schemas.microsoft.com/office/drawing/2012/chart" uri="{CE6537A1-D6FC-4f65-9D91-7224C49458BB}"/>
                <c:ext xmlns:c16="http://schemas.microsoft.com/office/drawing/2014/chart" uri="{C3380CC4-5D6E-409C-BE32-E72D297353CC}">
                  <c16:uniqueId val="{0000000D-FB65-3D4A-A0BD-7353EFFAA174}"/>
                </c:ext>
              </c:extLst>
            </c:dLbl>
            <c:dLbl>
              <c:idx val="3"/>
              <c:delete val="1"/>
              <c:extLst>
                <c:ext xmlns:c15="http://schemas.microsoft.com/office/drawing/2012/chart" uri="{CE6537A1-D6FC-4f65-9D91-7224C49458BB}"/>
                <c:ext xmlns:c16="http://schemas.microsoft.com/office/drawing/2014/chart" uri="{C3380CC4-5D6E-409C-BE32-E72D297353CC}">
                  <c16:uniqueId val="{0000000E-FB65-3D4A-A0BD-7353EFFAA174}"/>
                </c:ext>
              </c:extLst>
            </c:dLbl>
            <c:dLbl>
              <c:idx val="5"/>
              <c:delete val="1"/>
              <c:extLst>
                <c:ext xmlns:c15="http://schemas.microsoft.com/office/drawing/2012/chart" uri="{CE6537A1-D6FC-4f65-9D91-7224C49458BB}"/>
                <c:ext xmlns:c16="http://schemas.microsoft.com/office/drawing/2014/chart" uri="{C3380CC4-5D6E-409C-BE32-E72D297353CC}">
                  <c16:uniqueId val="{0000000F-FB65-3D4A-A0BD-7353EFFAA174}"/>
                </c:ext>
              </c:extLst>
            </c:dLbl>
            <c:dLbl>
              <c:idx val="7"/>
              <c:delete val="1"/>
              <c:extLst>
                <c:ext xmlns:c15="http://schemas.microsoft.com/office/drawing/2012/chart" uri="{CE6537A1-D6FC-4f65-9D91-7224C49458BB}"/>
                <c:ext xmlns:c16="http://schemas.microsoft.com/office/drawing/2014/chart" uri="{C3380CC4-5D6E-409C-BE32-E72D297353CC}">
                  <c16:uniqueId val="{00000010-FB65-3D4A-A0BD-7353EFFAA174}"/>
                </c:ext>
              </c:extLst>
            </c:dLbl>
            <c:dLbl>
              <c:idx val="9"/>
              <c:delete val="1"/>
              <c:extLst>
                <c:ext xmlns:c15="http://schemas.microsoft.com/office/drawing/2012/chart" uri="{CE6537A1-D6FC-4f65-9D91-7224C49458BB}"/>
                <c:ext xmlns:c16="http://schemas.microsoft.com/office/drawing/2014/chart" uri="{C3380CC4-5D6E-409C-BE32-E72D297353CC}">
                  <c16:uniqueId val="{00000011-FB65-3D4A-A0BD-7353EFFAA174}"/>
                </c:ext>
              </c:extLst>
            </c:dLbl>
            <c:dLbl>
              <c:idx val="11"/>
              <c:delete val="1"/>
              <c:extLst>
                <c:ext xmlns:c15="http://schemas.microsoft.com/office/drawing/2012/chart" uri="{CE6537A1-D6FC-4f65-9D91-7224C49458BB}"/>
                <c:ext xmlns:c16="http://schemas.microsoft.com/office/drawing/2014/chart" uri="{C3380CC4-5D6E-409C-BE32-E72D297353CC}">
                  <c16:uniqueId val="{00000012-FB65-3D4A-A0BD-7353EFFAA174}"/>
                </c:ext>
              </c:extLst>
            </c:dLbl>
            <c:dLbl>
              <c:idx val="13"/>
              <c:delete val="1"/>
              <c:extLst>
                <c:ext xmlns:c15="http://schemas.microsoft.com/office/drawing/2012/chart" uri="{CE6537A1-D6FC-4f65-9D91-7224C49458BB}"/>
                <c:ext xmlns:c16="http://schemas.microsoft.com/office/drawing/2014/chart" uri="{C3380CC4-5D6E-409C-BE32-E72D297353CC}">
                  <c16:uniqueId val="{00000013-FB65-3D4A-A0BD-7353EFFAA174}"/>
                </c:ext>
              </c:extLst>
            </c:dLbl>
            <c:dLbl>
              <c:idx val="17"/>
              <c:delete val="1"/>
              <c:extLst>
                <c:ext xmlns:c15="http://schemas.microsoft.com/office/drawing/2012/chart" uri="{CE6537A1-D6FC-4f65-9D91-7224C49458BB}"/>
                <c:ext xmlns:c16="http://schemas.microsoft.com/office/drawing/2014/chart" uri="{C3380CC4-5D6E-409C-BE32-E72D297353CC}">
                  <c16:uniqueId val="{00000014-FB65-3D4A-A0BD-7353EFFAA174}"/>
                </c:ext>
              </c:extLst>
            </c:dLbl>
            <c:dLbl>
              <c:idx val="18"/>
              <c:delete val="1"/>
              <c:extLst>
                <c:ext xmlns:c15="http://schemas.microsoft.com/office/drawing/2012/chart" uri="{CE6537A1-D6FC-4f65-9D91-7224C49458BB}"/>
                <c:ext xmlns:c16="http://schemas.microsoft.com/office/drawing/2014/chart" uri="{C3380CC4-5D6E-409C-BE32-E72D297353CC}">
                  <c16:uniqueId val="{00000015-FB65-3D4A-A0BD-7353EFFAA174}"/>
                </c:ext>
              </c:extLst>
            </c:dLbl>
            <c:dLbl>
              <c:idx val="19"/>
              <c:delete val="1"/>
              <c:extLst>
                <c:ext xmlns:c15="http://schemas.microsoft.com/office/drawing/2012/chart" uri="{CE6537A1-D6FC-4f65-9D91-7224C49458BB}"/>
                <c:ext xmlns:c16="http://schemas.microsoft.com/office/drawing/2014/chart" uri="{C3380CC4-5D6E-409C-BE32-E72D297353CC}">
                  <c16:uniqueId val="{00000016-FB65-3D4A-A0BD-7353EFFAA174}"/>
                </c:ext>
              </c:extLst>
            </c:dLbl>
            <c:dLbl>
              <c:idx val="21"/>
              <c:delete val="1"/>
              <c:extLst>
                <c:ext xmlns:c15="http://schemas.microsoft.com/office/drawing/2012/chart" uri="{CE6537A1-D6FC-4f65-9D91-7224C49458BB}"/>
                <c:ext xmlns:c16="http://schemas.microsoft.com/office/drawing/2014/chart" uri="{C3380CC4-5D6E-409C-BE32-E72D297353CC}">
                  <c16:uniqueId val="{00000017-FB65-3D4A-A0BD-7353EFFAA174}"/>
                </c:ext>
              </c:extLst>
            </c:dLbl>
            <c:spPr>
              <a:noFill/>
              <a:ln>
                <a:noFill/>
              </a:ln>
              <a:effectLst/>
            </c:spPr>
            <c:txPr>
              <a:bodyPr wrap="square" lIns="38100" tIns="19050" rIns="38100" bIns="19050" anchor="ctr">
                <a:spAutoFit/>
              </a:bodyPr>
              <a:lstStyle/>
              <a:p>
                <a:pPr>
                  <a:defRPr sz="900" b="1">
                    <a:solidFill>
                      <a:srgbClr val="C00000"/>
                    </a:solidFill>
                  </a:defRPr>
                </a:pPr>
                <a:endParaRPr lang="en-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'Deuda GNC'!$C$146:$AK$146</c:f>
              <c:numCache>
                <c:formatCode>0</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'Deuda GNC'!$C$125:$AK$125</c:f>
              <c:numCache>
                <c:formatCode>#,##0.0</c:formatCode>
                <c:ptCount val="35"/>
                <c:pt idx="0" formatCode="0.0">
                  <c:v>10.62683617305186</c:v>
                </c:pt>
                <c:pt idx="1">
                  <c:v>10.213238281188579</c:v>
                </c:pt>
                <c:pt idx="2">
                  <c:v>9.6179367636628399</c:v>
                </c:pt>
                <c:pt idx="3">
                  <c:v>8.6070646041436252</c:v>
                </c:pt>
                <c:pt idx="4">
                  <c:v>7.8440668829392921</c:v>
                </c:pt>
                <c:pt idx="5">
                  <c:v>8.4186097380866283</c:v>
                </c:pt>
                <c:pt idx="6">
                  <c:v>8.8837366119240428</c:v>
                </c:pt>
                <c:pt idx="7">
                  <c:v>8.0049748593642036</c:v>
                </c:pt>
                <c:pt idx="8">
                  <c:v>7.8388616482908073</c:v>
                </c:pt>
                <c:pt idx="9">
                  <c:v>7.2170433888154442</c:v>
                </c:pt>
                <c:pt idx="10">
                  <c:v>6.6686576566426234</c:v>
                </c:pt>
                <c:pt idx="11">
                  <c:v>6.2912170279295463</c:v>
                </c:pt>
                <c:pt idx="12">
                  <c:v>5.7981634210511883</c:v>
                </c:pt>
                <c:pt idx="13">
                  <c:v>6.054952436778029</c:v>
                </c:pt>
                <c:pt idx="14">
                  <c:v>5.6285389222504181</c:v>
                </c:pt>
                <c:pt idx="15">
                  <c:v>6.1574762973804065</c:v>
                </c:pt>
                <c:pt idx="16">
                  <c:v>4.8069976020114025</c:v>
                </c:pt>
                <c:pt idx="17">
                  <c:v>5.0228419509823095</c:v>
                </c:pt>
                <c:pt idx="18">
                  <c:v>4.9152682386121711</c:v>
                </c:pt>
                <c:pt idx="19">
                  <c:v>4.9041855888737205</c:v>
                </c:pt>
                <c:pt idx="20">
                  <c:v>5.1438225705546419</c:v>
                </c:pt>
                <c:pt idx="21">
                  <c:v>4.3509342469487011</c:v>
                </c:pt>
                <c:pt idx="22">
                  <c:v>3.8712280792447542</c:v>
                </c:pt>
                <c:pt idx="23">
                  <c:v>3.8999140155381231</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18-FB65-3D4A-A0BD-7353EFFAA174}"/>
            </c:ext>
          </c:extLst>
        </c:ser>
        <c:ser>
          <c:idx val="0"/>
          <c:order val="2"/>
          <c:tx>
            <c:v>Total</c:v>
          </c:tx>
          <c:spPr>
            <a:ln w="22225" cap="rnd">
              <a:solidFill>
                <a:schemeClr val="tx1"/>
              </a:solidFill>
              <a:round/>
            </a:ln>
            <a:effectLst/>
          </c:spPr>
          <c:marker>
            <c:symbol val="none"/>
          </c:marker>
          <c:dPt>
            <c:idx val="23"/>
            <c:bubble3D val="0"/>
            <c:spPr>
              <a:ln w="22225" cap="rnd">
                <a:solidFill>
                  <a:schemeClr val="tx1"/>
                </a:solidFill>
                <a:prstDash val="sysDash"/>
                <a:round/>
              </a:ln>
              <a:effectLst/>
            </c:spPr>
            <c:extLst>
              <c:ext xmlns:c16="http://schemas.microsoft.com/office/drawing/2014/chart" uri="{C3380CC4-5D6E-409C-BE32-E72D297353CC}">
                <c16:uniqueId val="{0000001A-FB65-3D4A-A0BD-7353EFFAA174}"/>
              </c:ext>
            </c:extLst>
          </c:dPt>
          <c:dLbls>
            <c:dLbl>
              <c:idx val="0"/>
              <c:layout>
                <c:manualLayout>
                  <c:x val="-4.0601919173596034E-2"/>
                  <c:y val="-2.9969206685511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B65-3D4A-A0BD-7353EFFAA174}"/>
                </c:ext>
              </c:extLst>
            </c:dLbl>
            <c:dLbl>
              <c:idx val="2"/>
              <c:delete val="1"/>
              <c:extLst>
                <c:ext xmlns:c15="http://schemas.microsoft.com/office/drawing/2012/chart" uri="{CE6537A1-D6FC-4f65-9D91-7224C49458BB}"/>
                <c:ext xmlns:c16="http://schemas.microsoft.com/office/drawing/2014/chart" uri="{C3380CC4-5D6E-409C-BE32-E72D297353CC}">
                  <c16:uniqueId val="{0000001C-FB65-3D4A-A0BD-7353EFFAA174}"/>
                </c:ext>
              </c:extLst>
            </c:dLbl>
            <c:dLbl>
              <c:idx val="3"/>
              <c:delete val="1"/>
              <c:extLst>
                <c:ext xmlns:c15="http://schemas.microsoft.com/office/drawing/2012/chart" uri="{CE6537A1-D6FC-4f65-9D91-7224C49458BB}"/>
                <c:ext xmlns:c16="http://schemas.microsoft.com/office/drawing/2014/chart" uri="{C3380CC4-5D6E-409C-BE32-E72D297353CC}">
                  <c16:uniqueId val="{0000001D-FB65-3D4A-A0BD-7353EFFAA174}"/>
                </c:ext>
              </c:extLst>
            </c:dLbl>
            <c:dLbl>
              <c:idx val="4"/>
              <c:delete val="1"/>
              <c:extLst>
                <c:ext xmlns:c15="http://schemas.microsoft.com/office/drawing/2012/chart" uri="{CE6537A1-D6FC-4f65-9D91-7224C49458BB}"/>
                <c:ext xmlns:c16="http://schemas.microsoft.com/office/drawing/2014/chart" uri="{C3380CC4-5D6E-409C-BE32-E72D297353CC}">
                  <c16:uniqueId val="{0000001E-FB65-3D4A-A0BD-7353EFFAA174}"/>
                </c:ext>
              </c:extLst>
            </c:dLbl>
            <c:dLbl>
              <c:idx val="5"/>
              <c:delete val="1"/>
              <c:extLst>
                <c:ext xmlns:c15="http://schemas.microsoft.com/office/drawing/2012/chart" uri="{CE6537A1-D6FC-4f65-9D91-7224C49458BB}"/>
                <c:ext xmlns:c16="http://schemas.microsoft.com/office/drawing/2014/chart" uri="{C3380CC4-5D6E-409C-BE32-E72D297353CC}">
                  <c16:uniqueId val="{0000001F-FB65-3D4A-A0BD-7353EFFAA174}"/>
                </c:ext>
              </c:extLst>
            </c:dLbl>
            <c:dLbl>
              <c:idx val="6"/>
              <c:delete val="1"/>
              <c:extLst>
                <c:ext xmlns:c15="http://schemas.microsoft.com/office/drawing/2012/chart" uri="{CE6537A1-D6FC-4f65-9D91-7224C49458BB}"/>
                <c:ext xmlns:c16="http://schemas.microsoft.com/office/drawing/2014/chart" uri="{C3380CC4-5D6E-409C-BE32-E72D297353CC}">
                  <c16:uniqueId val="{00000020-FB65-3D4A-A0BD-7353EFFAA174}"/>
                </c:ext>
              </c:extLst>
            </c:dLbl>
            <c:dLbl>
              <c:idx val="8"/>
              <c:delete val="1"/>
              <c:extLst>
                <c:ext xmlns:c15="http://schemas.microsoft.com/office/drawing/2012/chart" uri="{CE6537A1-D6FC-4f65-9D91-7224C49458BB}"/>
                <c:ext xmlns:c16="http://schemas.microsoft.com/office/drawing/2014/chart" uri="{C3380CC4-5D6E-409C-BE32-E72D297353CC}">
                  <c16:uniqueId val="{00000021-FB65-3D4A-A0BD-7353EFFAA174}"/>
                </c:ext>
              </c:extLst>
            </c:dLbl>
            <c:dLbl>
              <c:idx val="9"/>
              <c:delete val="1"/>
              <c:extLst>
                <c:ext xmlns:c15="http://schemas.microsoft.com/office/drawing/2012/chart" uri="{CE6537A1-D6FC-4f65-9D91-7224C49458BB}"/>
                <c:ext xmlns:c16="http://schemas.microsoft.com/office/drawing/2014/chart" uri="{C3380CC4-5D6E-409C-BE32-E72D297353CC}">
                  <c16:uniqueId val="{00000022-FB65-3D4A-A0BD-7353EFFAA174}"/>
                </c:ext>
              </c:extLst>
            </c:dLbl>
            <c:dLbl>
              <c:idx val="12"/>
              <c:delete val="1"/>
              <c:extLst>
                <c:ext xmlns:c15="http://schemas.microsoft.com/office/drawing/2012/chart" uri="{CE6537A1-D6FC-4f65-9D91-7224C49458BB}"/>
                <c:ext xmlns:c16="http://schemas.microsoft.com/office/drawing/2014/chart" uri="{C3380CC4-5D6E-409C-BE32-E72D297353CC}">
                  <c16:uniqueId val="{00000023-FB65-3D4A-A0BD-7353EFFAA174}"/>
                </c:ext>
              </c:extLst>
            </c:dLbl>
            <c:dLbl>
              <c:idx val="13"/>
              <c:delete val="1"/>
              <c:extLst>
                <c:ext xmlns:c15="http://schemas.microsoft.com/office/drawing/2012/chart" uri="{CE6537A1-D6FC-4f65-9D91-7224C49458BB}"/>
                <c:ext xmlns:c16="http://schemas.microsoft.com/office/drawing/2014/chart" uri="{C3380CC4-5D6E-409C-BE32-E72D297353CC}">
                  <c16:uniqueId val="{00000024-FB65-3D4A-A0BD-7353EFFAA174}"/>
                </c:ext>
              </c:extLst>
            </c:dLbl>
            <c:dLbl>
              <c:idx val="15"/>
              <c:delete val="1"/>
              <c:extLst>
                <c:ext xmlns:c15="http://schemas.microsoft.com/office/drawing/2012/chart" uri="{CE6537A1-D6FC-4f65-9D91-7224C49458BB}"/>
                <c:ext xmlns:c16="http://schemas.microsoft.com/office/drawing/2014/chart" uri="{C3380CC4-5D6E-409C-BE32-E72D297353CC}">
                  <c16:uniqueId val="{00000025-FB65-3D4A-A0BD-7353EFFAA174}"/>
                </c:ext>
              </c:extLst>
            </c:dLbl>
            <c:dLbl>
              <c:idx val="17"/>
              <c:delete val="1"/>
              <c:extLst>
                <c:ext xmlns:c15="http://schemas.microsoft.com/office/drawing/2012/chart" uri="{CE6537A1-D6FC-4f65-9D91-7224C49458BB}"/>
                <c:ext xmlns:c16="http://schemas.microsoft.com/office/drawing/2014/chart" uri="{C3380CC4-5D6E-409C-BE32-E72D297353CC}">
                  <c16:uniqueId val="{00000026-FB65-3D4A-A0BD-7353EFFAA174}"/>
                </c:ext>
              </c:extLst>
            </c:dLbl>
            <c:dLbl>
              <c:idx val="18"/>
              <c:delete val="1"/>
              <c:extLst>
                <c:ext xmlns:c15="http://schemas.microsoft.com/office/drawing/2012/chart" uri="{CE6537A1-D6FC-4f65-9D91-7224C49458BB}"/>
                <c:ext xmlns:c16="http://schemas.microsoft.com/office/drawing/2014/chart" uri="{C3380CC4-5D6E-409C-BE32-E72D297353CC}">
                  <c16:uniqueId val="{00000027-FB65-3D4A-A0BD-7353EFFAA174}"/>
                </c:ext>
              </c:extLst>
            </c:dLbl>
            <c:dLbl>
              <c:idx val="20"/>
              <c:delete val="1"/>
              <c:extLst>
                <c:ext xmlns:c15="http://schemas.microsoft.com/office/drawing/2012/chart" uri="{CE6537A1-D6FC-4f65-9D91-7224C49458BB}"/>
                <c:ext xmlns:c16="http://schemas.microsoft.com/office/drawing/2014/chart" uri="{C3380CC4-5D6E-409C-BE32-E72D297353CC}">
                  <c16:uniqueId val="{00000028-FB65-3D4A-A0BD-7353EFFAA174}"/>
                </c:ext>
              </c:extLst>
            </c:dLbl>
            <c:dLbl>
              <c:idx val="22"/>
              <c:layout>
                <c:manualLayout>
                  <c:x val="-2.8234117956827662E-2"/>
                  <c:y val="-1.7674147532480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FB65-3D4A-A0BD-7353EFFAA17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Helvetica" pitchFamily="2" charset="0"/>
                    <a:ea typeface="+mn-ea"/>
                    <a:cs typeface="+mn-cs"/>
                  </a:defRPr>
                </a:pPr>
                <a:endParaRPr lang="en-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'Deuda GNC'!$C$146:$AK$146</c:f>
              <c:numCache>
                <c:formatCode>0</c:formatCode>
                <c:ptCount val="3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pt idx="32">
                  <c:v>2032</c:v>
                </c:pt>
                <c:pt idx="33">
                  <c:v>2033</c:v>
                </c:pt>
                <c:pt idx="34">
                  <c:v>2034</c:v>
                </c:pt>
              </c:numCache>
            </c:numRef>
          </c:cat>
          <c:val>
            <c:numRef>
              <c:f>'Deuda GNC'!$C$126:$AK$126</c:f>
              <c:numCache>
                <c:formatCode>#,##0.0</c:formatCode>
                <c:ptCount val="35"/>
                <c:pt idx="0" formatCode="0.0">
                  <c:v>13.405705546801086</c:v>
                </c:pt>
                <c:pt idx="1">
                  <c:v>10.746609803384411</c:v>
                </c:pt>
                <c:pt idx="2">
                  <c:v>9.7705538944968744</c:v>
                </c:pt>
                <c:pt idx="3">
                  <c:v>9.2927266549231966</c:v>
                </c:pt>
                <c:pt idx="4">
                  <c:v>8.9799279904589202</c:v>
                </c:pt>
                <c:pt idx="5">
                  <c:v>8.3875204345169543</c:v>
                </c:pt>
                <c:pt idx="6">
                  <c:v>10.216870234553678</c:v>
                </c:pt>
                <c:pt idx="7">
                  <c:v>10.907474383202365</c:v>
                </c:pt>
                <c:pt idx="8">
                  <c:v>10.031135608382437</c:v>
                </c:pt>
                <c:pt idx="9">
                  <c:v>9.0152855708195077</c:v>
                </c:pt>
                <c:pt idx="10">
                  <c:v>8.0993919109469186</c:v>
                </c:pt>
                <c:pt idx="11">
                  <c:v>8.3463701549423579</c:v>
                </c:pt>
                <c:pt idx="12">
                  <c:v>8.0090212197129222</c:v>
                </c:pt>
                <c:pt idx="13">
                  <c:v>7.4019861107007925</c:v>
                </c:pt>
                <c:pt idx="14">
                  <c:v>6.9550485782327991</c:v>
                </c:pt>
                <c:pt idx="15">
                  <c:v>7.3721058782237918</c:v>
                </c:pt>
                <c:pt idx="16">
                  <c:v>7.5509590874814432</c:v>
                </c:pt>
                <c:pt idx="17">
                  <c:v>7.1384210352244253</c:v>
                </c:pt>
                <c:pt idx="18">
                  <c:v>6.8168088338718933</c:v>
                </c:pt>
                <c:pt idx="19">
                  <c:v>6.7282221278918346</c:v>
                </c:pt>
                <c:pt idx="20">
                  <c:v>5.5241283068803799</c:v>
                </c:pt>
                <c:pt idx="21">
                  <c:v>6.5513023017945118</c:v>
                </c:pt>
                <c:pt idx="22">
                  <c:v>8.8193860609369246</c:v>
                </c:pt>
                <c:pt idx="23">
                  <c:v>7.2533742893429816</c:v>
                </c:pt>
                <c:pt idx="24">
                  <c:v>7.0002511265903813</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2A-FB65-3D4A-A0BD-7353EFFAA174}"/>
            </c:ext>
          </c:extLst>
        </c:ser>
        <c:dLbls>
          <c:showLegendKey val="0"/>
          <c:showVal val="0"/>
          <c:showCatName val="0"/>
          <c:showSerName val="0"/>
          <c:showPercent val="0"/>
          <c:showBubbleSize val="0"/>
        </c:dLbls>
        <c:smooth val="0"/>
        <c:axId val="1140531520"/>
        <c:axId val="1140533200"/>
      </c:lineChart>
      <c:catAx>
        <c:axId val="114053152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1140533200"/>
        <c:crosses val="autoZero"/>
        <c:auto val="1"/>
        <c:lblAlgn val="ctr"/>
        <c:lblOffset val="100"/>
        <c:noMultiLvlLbl val="0"/>
      </c:catAx>
      <c:valAx>
        <c:axId val="1140533200"/>
        <c:scaling>
          <c:orientation val="minMax"/>
          <c:min val="2"/>
        </c:scaling>
        <c:delete val="1"/>
        <c:axPos val="l"/>
        <c:numFmt formatCode="#,##0.0" sourceLinked="1"/>
        <c:majorTickMark val="out"/>
        <c:minorTickMark val="none"/>
        <c:tickLblPos val="nextTo"/>
        <c:crossAx val="1140531520"/>
        <c:crosses val="autoZero"/>
        <c:crossBetween val="between"/>
      </c:valAx>
    </c:plotArea>
    <c:legend>
      <c:legendPos val="b"/>
      <c:layout>
        <c:manualLayout>
          <c:xMode val="edge"/>
          <c:yMode val="edge"/>
          <c:x val="0.15369220747182155"/>
          <c:y val="0.9193689814814815"/>
          <c:w val="0.69181483874390626"/>
          <c:h val="5.254930555555555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legend>
    <c:plotVisOnly val="1"/>
    <c:dispBlanksAs val="gap"/>
    <c:showDLblsOverMax val="0"/>
    <c:extLst/>
  </c:chart>
  <c:spPr>
    <a:solidFill>
      <a:schemeClr val="bg1"/>
    </a:solidFill>
    <a:ln w="9525" cap="flat" cmpd="sng" algn="ctr">
      <a:noFill/>
      <a:prstDash val="sysDash"/>
      <a:round/>
    </a:ln>
    <a:effectLst/>
  </c:spPr>
  <c:txPr>
    <a:bodyPr/>
    <a:lstStyle/>
    <a:p>
      <a:pPr>
        <a:defRPr sz="1200">
          <a:solidFill>
            <a:srgbClr val="003E6B"/>
          </a:solidFill>
          <a:latin typeface="Helvetica" pitchFamily="2" charset="0"/>
        </a:defRPr>
      </a:pPr>
      <a:endParaRPr lang="en-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rgbClr val="003E6B"/>
                </a:solidFill>
                <a:latin typeface="Helvetica" pitchFamily="2" charset="0"/>
                <a:ea typeface="+mn-ea"/>
                <a:cs typeface="+mn-cs"/>
              </a:defRPr>
            </a:pPr>
            <a:r>
              <a:rPr lang="en-US" sz="1600" b="1"/>
              <a:t>Necesidades de financiamiento</a:t>
            </a:r>
          </a:p>
          <a:p>
            <a:pPr>
              <a:defRPr/>
            </a:pPr>
            <a:r>
              <a:rPr lang="en-US" sz="1400"/>
              <a:t>(%</a:t>
            </a:r>
            <a:r>
              <a:rPr lang="en-US" sz="1400" baseline="0"/>
              <a:t> del PIB)</a:t>
            </a:r>
            <a:endParaRPr lang="en-US" sz="1400"/>
          </a:p>
        </c:rich>
      </c:tx>
      <c:overlay val="0"/>
      <c:spPr>
        <a:noFill/>
        <a:ln>
          <a:noFill/>
        </a:ln>
        <a:effectLst/>
      </c:spPr>
      <c:txPr>
        <a:bodyPr rot="0" spcFirstLastPara="1" vertOverflow="ellipsis" vert="horz" wrap="square" anchor="ctr" anchorCtr="1"/>
        <a:lstStyle/>
        <a:p>
          <a:pPr>
            <a:defRPr sz="1320" b="0" i="0" u="none" strike="noStrike" kern="1200" spc="0" baseline="0">
              <a:solidFill>
                <a:srgbClr val="003E6B"/>
              </a:solidFill>
              <a:latin typeface="Helvetica" pitchFamily="2" charset="0"/>
              <a:ea typeface="+mn-ea"/>
              <a:cs typeface="+mn-cs"/>
            </a:defRPr>
          </a:pPr>
          <a:endParaRPr lang="en-CO"/>
        </a:p>
      </c:txPr>
    </c:title>
    <c:autoTitleDeleted val="0"/>
    <c:plotArea>
      <c:layout>
        <c:manualLayout>
          <c:layoutTarget val="inner"/>
          <c:xMode val="edge"/>
          <c:yMode val="edge"/>
          <c:x val="2.1143863330426369E-2"/>
          <c:y val="9.4988526573297608E-2"/>
          <c:w val="0.95771227333914721"/>
          <c:h val="0.68173017611502096"/>
        </c:manualLayout>
      </c:layout>
      <c:barChart>
        <c:barDir val="col"/>
        <c:grouping val="stacked"/>
        <c:varyColors val="0"/>
        <c:ser>
          <c:idx val="1"/>
          <c:order val="0"/>
          <c:tx>
            <c:v>Balance Prim.</c:v>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'Gráficos deuda'!$Y$17:$AL$17</c:f>
              <c:numCache>
                <c:formatCode>0.0</c:formatCode>
                <c:ptCount val="14"/>
                <c:pt idx="0">
                  <c:v>0.98560831693350492</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432-3446-BE09-A83E4C8B20FC}"/>
            </c:ext>
          </c:extLst>
        </c:ser>
        <c:ser>
          <c:idx val="2"/>
          <c:order val="1"/>
          <c:tx>
            <c:v>Intereses</c:v>
          </c:tx>
          <c:spPr>
            <a:solidFill>
              <a:schemeClr val="accent5">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'Gráficos deuda'!$Y$18:$AL$18</c:f>
              <c:numCache>
                <c:formatCode>0.0</c:formatCode>
                <c:ptCount val="14"/>
                <c:pt idx="0">
                  <c:v>3.1739277667215413</c:v>
                </c:pt>
                <c:pt idx="1">
                  <c:v>2.9191221855158456</c:v>
                </c:pt>
                <c:pt idx="2">
                  <c:v>3.1981769409062291</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432-3446-BE09-A83E4C8B20FC}"/>
            </c:ext>
          </c:extLst>
        </c:ser>
        <c:ser>
          <c:idx val="0"/>
          <c:order val="2"/>
          <c:tx>
            <c:v>Amortizaciones</c:v>
          </c:tx>
          <c:spPr>
            <a:solidFill>
              <a:schemeClr val="accent4">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Helvetica" pitchFamily="2" charset="0"/>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'Gráficos deuda'!$Y$16:$AL$16</c:f>
              <c:numCache>
                <c:formatCode>0.0</c:formatCode>
                <c:ptCount val="14"/>
                <c:pt idx="0">
                  <c:v>1.5349962708516891</c:v>
                </c:pt>
                <c:pt idx="1">
                  <c:v>1.6823177508611171</c:v>
                </c:pt>
                <c:pt idx="2">
                  <c:v>0.45714552884499082</c:v>
                </c:pt>
                <c:pt idx="3">
                  <c:v>1.7090436888032214</c:v>
                </c:pt>
                <c:pt idx="4">
                  <c:v>1.9473973513636</c:v>
                </c:pt>
                <c:pt idx="5">
                  <c:v>2.8214024704661114</c:v>
                </c:pt>
                <c:pt idx="6">
                  <c:v>2.1459715960833585</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432-3446-BE09-A83E4C8B20FC}"/>
            </c:ext>
          </c:extLst>
        </c:ser>
        <c:dLbls>
          <c:showLegendKey val="0"/>
          <c:showVal val="0"/>
          <c:showCatName val="0"/>
          <c:showSerName val="0"/>
          <c:showPercent val="0"/>
          <c:showBubbleSize val="0"/>
        </c:dLbls>
        <c:gapWidth val="40"/>
        <c:overlap val="100"/>
        <c:axId val="1226108512"/>
        <c:axId val="1214069088"/>
      </c:barChart>
      <c:lineChart>
        <c:grouping val="standard"/>
        <c:varyColors val="0"/>
        <c:ser>
          <c:idx val="3"/>
          <c:order val="3"/>
          <c:tx>
            <c:v>Total</c:v>
          </c:tx>
          <c:spPr>
            <a:ln w="22225" cap="rnd">
              <a:solidFill>
                <a:schemeClr val="tx1"/>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003E6B"/>
                    </a:solidFill>
                    <a:latin typeface="Helvetica" pitchFamily="2" charset="0"/>
                    <a:ea typeface="+mn-ea"/>
                    <a:cs typeface="+mn-cs"/>
                  </a:defRPr>
                </a:pPr>
                <a:endParaRPr lang="en-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deuda'!$Y$5:$AL$5</c:f>
              <c:numCache>
                <c:formatCode>General</c:formatCod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numCache>
            </c:numRef>
          </c:cat>
          <c:val>
            <c:numRef>
              <c:f>'Gráficos deuda'!$Y$19:$AL$19</c:f>
              <c:numCache>
                <c:formatCode>0.0</c:formatCode>
                <c:ptCount val="14"/>
                <c:pt idx="0">
                  <c:v>5.6945323545067357</c:v>
                </c:pt>
                <c:pt idx="1">
                  <c:v>4.6014399363769627</c:v>
                </c:pt>
                <c:pt idx="2">
                  <c:v>3.6553224697512201</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3-7432-3446-BE09-A83E4C8B20FC}"/>
            </c:ext>
          </c:extLst>
        </c:ser>
        <c:dLbls>
          <c:showLegendKey val="0"/>
          <c:showVal val="0"/>
          <c:showCatName val="0"/>
          <c:showSerName val="0"/>
          <c:showPercent val="0"/>
          <c:showBubbleSize val="0"/>
        </c:dLbls>
        <c:marker val="1"/>
        <c:smooth val="0"/>
        <c:axId val="1226108512"/>
        <c:axId val="1214069088"/>
      </c:lineChart>
      <c:catAx>
        <c:axId val="1226108512"/>
        <c:scaling>
          <c:orientation val="minMax"/>
        </c:scaling>
        <c:delete val="0"/>
        <c:axPos val="b"/>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rgbClr val="003E6B"/>
                </a:solidFill>
                <a:latin typeface="Helvetica" pitchFamily="2" charset="0"/>
                <a:ea typeface="+mn-ea"/>
                <a:cs typeface="+mn-cs"/>
              </a:defRPr>
            </a:pPr>
            <a:endParaRPr lang="en-CO"/>
          </a:p>
        </c:txPr>
        <c:crossAx val="1214069088"/>
        <c:crosses val="autoZero"/>
        <c:auto val="1"/>
        <c:lblAlgn val="ctr"/>
        <c:lblOffset val="100"/>
        <c:noMultiLvlLbl val="0"/>
      </c:catAx>
      <c:valAx>
        <c:axId val="1214069088"/>
        <c:scaling>
          <c:orientation val="minMax"/>
          <c:min val="-1.5"/>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rgbClr val="003E6B"/>
                </a:solidFill>
                <a:latin typeface="Helvetica" pitchFamily="2" charset="0"/>
                <a:ea typeface="+mn-ea"/>
                <a:cs typeface="+mn-cs"/>
              </a:defRPr>
            </a:pPr>
            <a:endParaRPr lang="en-CO"/>
          </a:p>
        </c:txPr>
        <c:crossAx val="1226108512"/>
        <c:crosses val="autoZero"/>
        <c:crossBetween val="between"/>
      </c:valAx>
      <c:spPr>
        <a:noFill/>
        <a:ln>
          <a:noFill/>
        </a:ln>
        <a:effectLst/>
      </c:spPr>
    </c:plotArea>
    <c:legend>
      <c:legendPos val="b"/>
      <c:legendEntry>
        <c:idx val="3"/>
        <c:txPr>
          <a:bodyPr rot="0" spcFirstLastPara="1" vertOverflow="ellipsis" vert="horz" wrap="square" anchor="ctr" anchorCtr="1"/>
          <a:lstStyle/>
          <a:p>
            <a:pPr>
              <a:defRPr sz="1400" b="1" i="0" u="none" strike="noStrike" kern="1200" baseline="0">
                <a:solidFill>
                  <a:srgbClr val="003E6B"/>
                </a:solidFill>
                <a:latin typeface="Helvetica" pitchFamily="2" charset="0"/>
                <a:ea typeface="+mn-ea"/>
                <a:cs typeface="+mn-cs"/>
              </a:defRPr>
            </a:pPr>
            <a:endParaRPr lang="en-CO"/>
          </a:p>
        </c:txPr>
      </c:legendEntry>
      <c:layout>
        <c:manualLayout>
          <c:xMode val="edge"/>
          <c:yMode val="edge"/>
          <c:x val="3.1556724126918866E-2"/>
          <c:y val="0.89942199953137725"/>
          <c:w val="0.94457507796894202"/>
          <c:h val="8.1351756038407469E-2"/>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003E6B"/>
              </a:solidFill>
              <a:latin typeface="Helvetica" pitchFamily="2" charset="0"/>
              <a:ea typeface="+mn-ea"/>
              <a:cs typeface="+mn-cs"/>
            </a:defRPr>
          </a:pPr>
          <a:endParaRPr lang="en-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rgbClr val="003E6B"/>
          </a:solidFill>
          <a:latin typeface="Helvetica" pitchFamily="2" charset="0"/>
        </a:defRPr>
      </a:pPr>
      <a:endParaRPr lang="en-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003E6B"/>
                </a:solidFill>
                <a:latin typeface="Helvetica" pitchFamily="2" charset="0"/>
                <a:ea typeface="+mn-ea"/>
                <a:cs typeface="+mn-cs"/>
              </a:defRPr>
            </a:pPr>
            <a:r>
              <a:rPr lang="en-US" sz="1600" b="1"/>
              <a:t>Deuda Bruta del GNC</a:t>
            </a:r>
            <a:endParaRPr lang="en-US" sz="1600" b="0"/>
          </a:p>
          <a:p>
            <a:pPr>
              <a:defRPr b="1"/>
            </a:pPr>
            <a:r>
              <a:rPr lang="en-US" sz="1200" b="0"/>
              <a:t>(% del PIB)</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003E6B"/>
              </a:solidFill>
              <a:latin typeface="Helvetica" pitchFamily="2" charset="0"/>
              <a:ea typeface="+mn-ea"/>
              <a:cs typeface="+mn-cs"/>
            </a:defRPr>
          </a:pPr>
          <a:endParaRPr lang="en-CO"/>
        </a:p>
      </c:txPr>
    </c:title>
    <c:autoTitleDeleted val="0"/>
    <c:plotArea>
      <c:layout>
        <c:manualLayout>
          <c:layoutTarget val="inner"/>
          <c:xMode val="edge"/>
          <c:yMode val="edge"/>
          <c:x val="1.9625334522747548E-2"/>
          <c:y val="8.4053601340033521E-2"/>
          <c:w val="0.96074933095450488"/>
          <c:h val="0.76627019612498182"/>
        </c:manualLayout>
      </c:layout>
      <c:lineChart>
        <c:grouping val="standard"/>
        <c:varyColors val="0"/>
        <c:ser>
          <c:idx val="2"/>
          <c:order val="0"/>
          <c:tx>
            <c:strRef>
              <c:f>'Gráficos deuda'!$A$6</c:f>
              <c:strCache>
                <c:ptCount val="1"/>
                <c:pt idx="0">
                  <c:v>Deuda bruta proyectada</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E4B9-6E4A-90A2-EB013959B46D}"/>
                </c:ext>
              </c:extLst>
            </c:dLbl>
            <c:dLbl>
              <c:idx val="1"/>
              <c:delete val="1"/>
              <c:extLst>
                <c:ext xmlns:c15="http://schemas.microsoft.com/office/drawing/2012/chart" uri="{CE6537A1-D6FC-4f65-9D91-7224C49458BB}"/>
                <c:ext xmlns:c16="http://schemas.microsoft.com/office/drawing/2014/chart" uri="{C3380CC4-5D6E-409C-BE32-E72D297353CC}">
                  <c16:uniqueId val="{00000001-E4B9-6E4A-90A2-EB013959B46D}"/>
                </c:ext>
              </c:extLst>
            </c:dLbl>
            <c:dLbl>
              <c:idx val="2"/>
              <c:layout>
                <c:manualLayout>
                  <c:x val="-3.9419526007105278E-2"/>
                  <c:y val="-3.931676413255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B9-6E4A-90A2-EB013959B46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2"/>
                    </a:solidFill>
                    <a:latin typeface="Helvetica" pitchFamily="2" charset="0"/>
                    <a:ea typeface="+mn-ea"/>
                    <a:cs typeface="+mn-cs"/>
                  </a:defRPr>
                </a:pPr>
                <a:endParaRPr lang="en-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deuda'!$Y$5:$AL$5</c:f>
              <c:numCache>
                <c:formatCode>General</c:formatCod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numCache>
            </c:numRef>
          </c:cat>
          <c:val>
            <c:numRef>
              <c:f>'Gráficos deuda'!$Y$6:$AL$6</c:f>
              <c:numCache>
                <c:formatCode>0.0</c:formatCode>
                <c:ptCount val="14"/>
                <c:pt idx="0">
                  <c:v>61.139820003501065</c:v>
                </c:pt>
                <c:pt idx="1">
                  <c:v>56.718977359962643</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3-E4B9-6E4A-90A2-EB013959B46D}"/>
            </c:ext>
          </c:extLst>
        </c:ser>
        <c:ser>
          <c:idx val="1"/>
          <c:order val="1"/>
          <c:tx>
            <c:strRef>
              <c:f>'Gráficos deuda'!$A$9</c:f>
              <c:strCache>
                <c:ptCount val="1"/>
                <c:pt idx="0">
                  <c:v>MFMP 2024</c:v>
                </c:pt>
              </c:strCache>
            </c:strRef>
          </c:tx>
          <c:spPr>
            <a:ln w="28575" cap="rnd">
              <a:solidFill>
                <a:schemeClr val="accent1"/>
              </a:solidFill>
              <a:round/>
            </a:ln>
            <a:effectLst/>
          </c:spPr>
          <c:marker>
            <c:symbol val="none"/>
          </c:marker>
          <c:dLbls>
            <c:dLbl>
              <c:idx val="0"/>
              <c:layout>
                <c:manualLayout>
                  <c:x val="-3.326999869015753E-2"/>
                  <c:y val="-4.64181286549707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B9-6E4A-90A2-EB013959B46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1"/>
                    </a:solidFill>
                    <a:latin typeface="Helvetica" pitchFamily="2" charset="0"/>
                    <a:ea typeface="+mn-ea"/>
                    <a:cs typeface="+mn-cs"/>
                  </a:defRPr>
                </a:pPr>
                <a:endParaRPr lang="en-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'Gráficos deuda'!$Y$5:$AL$5</c:f>
              <c:numCache>
                <c:formatCode>General</c:formatCod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numCache>
            </c:numRef>
          </c:cat>
          <c:val>
            <c:numRef>
              <c:f>'Gráficos deuda'!$Y$9:$AL$9</c:f>
              <c:numCache>
                <c:formatCode>0.0</c:formatCode>
                <c:ptCount val="14"/>
                <c:pt idx="0">
                  <c:v>61.139820003501065</c:v>
                </c:pt>
                <c:pt idx="1">
                  <c:v>56.718977359962643</c:v>
                </c:pt>
              </c:numCache>
            </c:numRef>
          </c:val>
          <c:smooth val="0"/>
          <c:extLst>
            <c:ext xmlns:c16="http://schemas.microsoft.com/office/drawing/2014/chart" uri="{C3380CC4-5D6E-409C-BE32-E72D297353CC}">
              <c16:uniqueId val="{00000005-E4B9-6E4A-90A2-EB013959B46D}"/>
            </c:ext>
          </c:extLst>
        </c:ser>
        <c:dLbls>
          <c:showLegendKey val="0"/>
          <c:showVal val="0"/>
          <c:showCatName val="0"/>
          <c:showSerName val="0"/>
          <c:showPercent val="0"/>
          <c:showBubbleSize val="0"/>
        </c:dLbls>
        <c:smooth val="0"/>
        <c:axId val="592469535"/>
        <c:axId val="593406943"/>
      </c:lineChart>
      <c:catAx>
        <c:axId val="59246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593406943"/>
        <c:crosses val="autoZero"/>
        <c:auto val="1"/>
        <c:lblAlgn val="ctr"/>
        <c:lblOffset val="100"/>
        <c:noMultiLvlLbl val="0"/>
      </c:catAx>
      <c:valAx>
        <c:axId val="593406943"/>
        <c:scaling>
          <c:orientation val="minMax"/>
          <c:max val="65"/>
          <c:min val="52"/>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crossAx val="592469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rgbClr val="003E6B"/>
              </a:solidFill>
              <a:latin typeface="Helvetica" pitchFamily="2" charset="0"/>
              <a:ea typeface="+mn-ea"/>
              <a:cs typeface="+mn-cs"/>
            </a:defRPr>
          </a:pPr>
          <a:endParaRPr lang="en-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rgbClr val="003E6B"/>
          </a:solidFill>
          <a:latin typeface="Helvetica" pitchFamily="2" charset="0"/>
        </a:defRPr>
      </a:pPr>
      <a:endParaRPr lang="en-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2365375</xdr:colOff>
      <xdr:row>6</xdr:row>
      <xdr:rowOff>88141</xdr:rowOff>
    </xdr:to>
    <xdr:pic>
      <xdr:nvPicPr>
        <xdr:cNvPr id="2" name="Imagen 1">
          <a:extLst>
            <a:ext uri="{FF2B5EF4-FFF2-40B4-BE49-F238E27FC236}">
              <a16:creationId xmlns:a16="http://schemas.microsoft.com/office/drawing/2014/main" id="{103F5D06-6E14-9D41-B505-A1A79E13053A}"/>
            </a:ext>
          </a:extLst>
        </xdr:cNvPr>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2365375" cy="1307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141111</xdr:colOff>
      <xdr:row>37</xdr:row>
      <xdr:rowOff>70556</xdr:rowOff>
    </xdr:from>
    <xdr:to>
      <xdr:col>9</xdr:col>
      <xdr:colOff>733778</xdr:colOff>
      <xdr:row>37</xdr:row>
      <xdr:rowOff>70556</xdr:rowOff>
    </xdr:to>
    <xdr:cxnSp macro="">
      <xdr:nvCxnSpPr>
        <xdr:cNvPr id="3" name="Straight Arrow Connector 2">
          <a:extLst>
            <a:ext uri="{FF2B5EF4-FFF2-40B4-BE49-F238E27FC236}">
              <a16:creationId xmlns:a16="http://schemas.microsoft.com/office/drawing/2014/main" id="{59B9E4E4-79EF-5BAB-8965-D8AAD85499F4}"/>
            </a:ext>
          </a:extLst>
        </xdr:cNvPr>
        <xdr:cNvCxnSpPr/>
      </xdr:nvCxnSpPr>
      <xdr:spPr>
        <a:xfrm>
          <a:off x="9708444" y="8452556"/>
          <a:ext cx="592667"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110066</xdr:colOff>
      <xdr:row>39</xdr:row>
      <xdr:rowOff>124178</xdr:rowOff>
    </xdr:from>
    <xdr:to>
      <xdr:col>9</xdr:col>
      <xdr:colOff>702733</xdr:colOff>
      <xdr:row>39</xdr:row>
      <xdr:rowOff>124178</xdr:rowOff>
    </xdr:to>
    <xdr:cxnSp macro="">
      <xdr:nvCxnSpPr>
        <xdr:cNvPr id="4" name="Straight Arrow Connector 3">
          <a:extLst>
            <a:ext uri="{FF2B5EF4-FFF2-40B4-BE49-F238E27FC236}">
              <a16:creationId xmlns:a16="http://schemas.microsoft.com/office/drawing/2014/main" id="{85C70834-C3C5-FF45-B6E7-138C55FE1A34}"/>
            </a:ext>
          </a:extLst>
        </xdr:cNvPr>
        <xdr:cNvCxnSpPr/>
      </xdr:nvCxnSpPr>
      <xdr:spPr>
        <a:xfrm>
          <a:off x="9677399" y="10030178"/>
          <a:ext cx="592667"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56444</xdr:colOff>
      <xdr:row>56</xdr:row>
      <xdr:rowOff>84667</xdr:rowOff>
    </xdr:from>
    <xdr:to>
      <xdr:col>9</xdr:col>
      <xdr:colOff>649111</xdr:colOff>
      <xdr:row>56</xdr:row>
      <xdr:rowOff>84667</xdr:rowOff>
    </xdr:to>
    <xdr:cxnSp macro="">
      <xdr:nvCxnSpPr>
        <xdr:cNvPr id="5" name="Straight Arrow Connector 4">
          <a:extLst>
            <a:ext uri="{FF2B5EF4-FFF2-40B4-BE49-F238E27FC236}">
              <a16:creationId xmlns:a16="http://schemas.microsoft.com/office/drawing/2014/main" id="{5C50B869-A3B2-1F42-8C6B-C0B54BCFDDBC}"/>
            </a:ext>
          </a:extLst>
        </xdr:cNvPr>
        <xdr:cNvCxnSpPr/>
      </xdr:nvCxnSpPr>
      <xdr:spPr>
        <a:xfrm>
          <a:off x="9623777" y="12234334"/>
          <a:ext cx="592667"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53622</xdr:colOff>
      <xdr:row>58</xdr:row>
      <xdr:rowOff>95956</xdr:rowOff>
    </xdr:from>
    <xdr:to>
      <xdr:col>9</xdr:col>
      <xdr:colOff>646289</xdr:colOff>
      <xdr:row>58</xdr:row>
      <xdr:rowOff>95956</xdr:rowOff>
    </xdr:to>
    <xdr:cxnSp macro="">
      <xdr:nvCxnSpPr>
        <xdr:cNvPr id="6" name="Straight Arrow Connector 5">
          <a:extLst>
            <a:ext uri="{FF2B5EF4-FFF2-40B4-BE49-F238E27FC236}">
              <a16:creationId xmlns:a16="http://schemas.microsoft.com/office/drawing/2014/main" id="{82F94143-B888-B14A-847A-A2B29354797E}"/>
            </a:ext>
          </a:extLst>
        </xdr:cNvPr>
        <xdr:cNvCxnSpPr/>
      </xdr:nvCxnSpPr>
      <xdr:spPr>
        <a:xfrm>
          <a:off x="9620955" y="13769623"/>
          <a:ext cx="592667"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297744</xdr:colOff>
      <xdr:row>101</xdr:row>
      <xdr:rowOff>77610</xdr:rowOff>
    </xdr:from>
    <xdr:ext cx="10342034" cy="45191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28C73F3B-0633-CC4F-80BA-2192819AF988}"/>
                </a:ext>
              </a:extLst>
            </xdr:cNvPr>
            <xdr:cNvSpPr txBox="1"/>
          </xdr:nvSpPr>
          <xdr:spPr>
            <a:xfrm>
              <a:off x="297744" y="19826110"/>
              <a:ext cx="10342034" cy="451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
                    <m:sSubPr>
                      <m:ctrlPr>
                        <a:rPr lang="en-US" sz="1800" b="0" i="1">
                          <a:latin typeface="Cambria Math" panose="02040503050406030204" pitchFamily="18" charset="0"/>
                        </a:rPr>
                      </m:ctrlPr>
                    </m:sSubPr>
                    <m:e>
                      <m:r>
                        <a:rPr lang="en-US" sz="1800" b="0" i="1">
                          <a:latin typeface="Cambria Math" panose="02040503050406030204" pitchFamily="18" charset="0"/>
                        </a:rPr>
                        <m:t>𝑑</m:t>
                      </m:r>
                    </m:e>
                    <m:sub>
                      <m:r>
                        <a:rPr lang="en-US" sz="1800" b="0" i="1">
                          <a:latin typeface="Cambria Math" panose="02040503050406030204" pitchFamily="18" charset="0"/>
                        </a:rPr>
                        <m:t>𝑡</m:t>
                      </m:r>
                    </m:sub>
                  </m:sSub>
                  <m:r>
                    <a:rPr lang="en-US" sz="1800" b="0" i="1">
                      <a:latin typeface="Cambria Math" panose="02040503050406030204" pitchFamily="18" charset="0"/>
                    </a:rPr>
                    <m:t>−</m:t>
                  </m:r>
                  <m:sSub>
                    <m:sSubPr>
                      <m:ctrlPr>
                        <a:rPr lang="en-US" sz="1800" b="0" i="1">
                          <a:latin typeface="Cambria Math" panose="02040503050406030204" pitchFamily="18" charset="0"/>
                        </a:rPr>
                      </m:ctrlPr>
                    </m:sSubPr>
                    <m:e>
                      <m:r>
                        <a:rPr lang="en-US" sz="1800" b="0" i="1">
                          <a:latin typeface="Cambria Math" panose="02040503050406030204" pitchFamily="18" charset="0"/>
                        </a:rPr>
                        <m:t>𝑑</m:t>
                      </m:r>
                    </m:e>
                    <m:sub>
                      <m:r>
                        <a:rPr lang="en-US" sz="1800" b="0" i="1">
                          <a:latin typeface="Cambria Math" panose="02040503050406030204" pitchFamily="18" charset="0"/>
                        </a:rPr>
                        <m:t>𝑡</m:t>
                      </m:r>
                      <m:r>
                        <a:rPr lang="en-US" sz="1800" b="0" i="1">
                          <a:latin typeface="Cambria Math" panose="02040503050406030204" pitchFamily="18" charset="0"/>
                        </a:rPr>
                        <m:t>−1</m:t>
                      </m:r>
                    </m:sub>
                  </m:sSub>
                  <m:r>
                    <a:rPr lang="en-US" sz="1800" b="0" i="1">
                      <a:latin typeface="Cambria Math" panose="02040503050406030204" pitchFamily="18" charset="0"/>
                    </a:rPr>
                    <m:t>=</m:t>
                  </m:r>
                  <m:f>
                    <m:fPr>
                      <m:ctrlPr>
                        <a:rPr lang="en-US" sz="1800" i="1">
                          <a:latin typeface="Cambria Math" panose="02040503050406030204" pitchFamily="18" charset="0"/>
                        </a:rPr>
                      </m:ctrlPr>
                    </m:fPr>
                    <m:num>
                      <m:sSub>
                        <m:sSubPr>
                          <m:ctrlPr>
                            <a:rPr lang="en-US" sz="1800" i="1">
                              <a:latin typeface="Cambria Math" panose="02040503050406030204" pitchFamily="18" charset="0"/>
                            </a:rPr>
                          </m:ctrlPr>
                        </m:sSubPr>
                        <m:e>
                          <m:r>
                            <a:rPr lang="en-US" sz="1800" b="0" i="1">
                              <a:latin typeface="Cambria Math" panose="02040503050406030204" pitchFamily="18" charset="0"/>
                            </a:rPr>
                            <m:t>𝑖</m:t>
                          </m:r>
                        </m:e>
                        <m:sub>
                          <m:r>
                            <a:rPr lang="en-US" sz="1800" b="0" i="1">
                              <a:latin typeface="Cambria Math" panose="02040503050406030204" pitchFamily="18" charset="0"/>
                            </a:rPr>
                            <m:t>𝑡</m:t>
                          </m:r>
                        </m:sub>
                      </m:sSub>
                    </m:num>
                    <m:den>
                      <m:d>
                        <m:dPr>
                          <m:ctrlPr>
                            <a:rPr lang="en-US" sz="1800" b="0" i="1">
                              <a:latin typeface="Cambria Math" panose="02040503050406030204" pitchFamily="18" charset="0"/>
                            </a:rPr>
                          </m:ctrlPr>
                        </m:dPr>
                        <m:e>
                          <m:r>
                            <a:rPr lang="en-US" sz="1800" b="0" i="1">
                              <a:latin typeface="Cambria Math" panose="02040503050406030204" pitchFamily="18" charset="0"/>
                            </a:rPr>
                            <m:t>1+</m:t>
                          </m:r>
                          <m:sSub>
                            <m:sSubPr>
                              <m:ctrlPr>
                                <a:rPr lang="en-US" sz="1800" b="0" i="1">
                                  <a:latin typeface="Cambria Math" panose="02040503050406030204" pitchFamily="18" charset="0"/>
                                </a:rPr>
                              </m:ctrlPr>
                            </m:sSubPr>
                            <m:e>
                              <m:r>
                                <a:rPr lang="en-US" sz="1800" b="0" i="1">
                                  <a:latin typeface="Cambria Math" panose="02040503050406030204" pitchFamily="18" charset="0"/>
                                </a:rPr>
                                <m:t>𝑔</m:t>
                              </m:r>
                            </m:e>
                            <m:sub>
                              <m:r>
                                <a:rPr lang="en-US" sz="1800" b="0" i="1">
                                  <a:latin typeface="Cambria Math" panose="02040503050406030204" pitchFamily="18" charset="0"/>
                                </a:rPr>
                                <m:t>𝑡</m:t>
                              </m:r>
                            </m:sub>
                          </m:sSub>
                        </m:e>
                      </m:d>
                      <m:d>
                        <m:dPr>
                          <m:ctrlPr>
                            <a:rPr lang="en-US" sz="1800" b="0" i="1">
                              <a:latin typeface="Cambria Math" panose="02040503050406030204" pitchFamily="18" charset="0"/>
                            </a:rPr>
                          </m:ctrlPr>
                        </m:dPr>
                        <m:e>
                          <m:r>
                            <a:rPr lang="en-US" sz="1800" b="0" i="1">
                              <a:latin typeface="Cambria Math" panose="02040503050406030204" pitchFamily="18" charset="0"/>
                            </a:rPr>
                            <m:t>1+</m:t>
                          </m:r>
                          <m:sSub>
                            <m:sSubPr>
                              <m:ctrlPr>
                                <a:rPr lang="en-US" sz="1800" b="0" i="1">
                                  <a:latin typeface="Cambria Math" panose="02040503050406030204" pitchFamily="18" charset="0"/>
                                </a:rPr>
                              </m:ctrlPr>
                            </m:sSubPr>
                            <m:e>
                              <m:r>
                                <a:rPr lang="en-US" sz="1800" b="0" i="1">
                                  <a:latin typeface="Cambria Math" panose="02040503050406030204" pitchFamily="18" charset="0"/>
                                  <a:ea typeface="Cambria Math" panose="02040503050406030204" pitchFamily="18" charset="0"/>
                                </a:rPr>
                                <m:t>𝜋</m:t>
                              </m:r>
                            </m:e>
                            <m:sub>
                              <m:r>
                                <a:rPr lang="en-US" sz="1800" b="0" i="1">
                                  <a:latin typeface="Cambria Math" panose="02040503050406030204" pitchFamily="18" charset="0"/>
                                </a:rPr>
                                <m:t>𝑡</m:t>
                              </m:r>
                            </m:sub>
                          </m:sSub>
                        </m:e>
                      </m:d>
                    </m:den>
                  </m:f>
                  <m:sSub>
                    <m:sSubPr>
                      <m:ctrlPr>
                        <a:rPr lang="en-US" sz="1800" b="0" i="1">
                          <a:latin typeface="Cambria Math" panose="02040503050406030204" pitchFamily="18" charset="0"/>
                        </a:rPr>
                      </m:ctrlPr>
                    </m:sSubPr>
                    <m:e>
                      <m:r>
                        <a:rPr lang="en-US" sz="1800" b="0" i="1">
                          <a:latin typeface="Cambria Math" panose="02040503050406030204" pitchFamily="18" charset="0"/>
                        </a:rPr>
                        <m:t>𝑑</m:t>
                      </m:r>
                    </m:e>
                    <m:sub>
                      <m:r>
                        <a:rPr lang="en-US" sz="1800" b="0" i="1">
                          <a:latin typeface="Cambria Math" panose="02040503050406030204" pitchFamily="18" charset="0"/>
                        </a:rPr>
                        <m:t>𝑡</m:t>
                      </m:r>
                      <m:r>
                        <a:rPr lang="en-US" sz="1800" b="0" i="1">
                          <a:latin typeface="Cambria Math" panose="02040503050406030204" pitchFamily="18" charset="0"/>
                        </a:rPr>
                        <m:t>−1</m:t>
                      </m:r>
                    </m:sub>
                  </m:sSub>
                  <m:r>
                    <a:rPr lang="en-US" sz="1800" b="0" i="1">
                      <a:latin typeface="Cambria Math" panose="02040503050406030204" pitchFamily="18" charset="0"/>
                    </a:rPr>
                    <m:t>−</m:t>
                  </m:r>
                  <m:f>
                    <m:fPr>
                      <m:ctrlPr>
                        <a:rPr lang="en-US" sz="1800" i="1">
                          <a:latin typeface="Cambria Math" panose="02040503050406030204" pitchFamily="18" charset="0"/>
                        </a:rPr>
                      </m:ctrlPr>
                    </m:fPr>
                    <m:num>
                      <m:sSub>
                        <m:sSubPr>
                          <m:ctrlPr>
                            <a:rPr lang="en-US" sz="1800" i="1">
                              <a:latin typeface="Cambria Math" panose="02040503050406030204" pitchFamily="18" charset="0"/>
                            </a:rPr>
                          </m:ctrlPr>
                        </m:sSubPr>
                        <m:e>
                          <m:r>
                            <a:rPr lang="en-US" sz="1800" i="1">
                              <a:latin typeface="Cambria Math" panose="02040503050406030204" pitchFamily="18" charset="0"/>
                              <a:ea typeface="Cambria Math" panose="02040503050406030204" pitchFamily="18" charset="0"/>
                            </a:rPr>
                            <m:t>𝜋</m:t>
                          </m:r>
                        </m:e>
                        <m:sub>
                          <m:r>
                            <a:rPr lang="en-US" sz="1800" b="0" i="1">
                              <a:latin typeface="Cambria Math" panose="02040503050406030204" pitchFamily="18" charset="0"/>
                            </a:rPr>
                            <m:t>𝑡</m:t>
                          </m:r>
                        </m:sub>
                      </m:sSub>
                    </m:num>
                    <m:den>
                      <m:d>
                        <m:dPr>
                          <m:ctrlPr>
                            <a:rPr lang="en-US" sz="1800" b="0" i="1">
                              <a:latin typeface="Cambria Math" panose="02040503050406030204" pitchFamily="18" charset="0"/>
                            </a:rPr>
                          </m:ctrlPr>
                        </m:dPr>
                        <m:e>
                          <m:r>
                            <a:rPr lang="en-US" sz="1800" b="0" i="1">
                              <a:latin typeface="Cambria Math" panose="02040503050406030204" pitchFamily="18" charset="0"/>
                            </a:rPr>
                            <m:t>1+</m:t>
                          </m:r>
                          <m:sSub>
                            <m:sSubPr>
                              <m:ctrlPr>
                                <a:rPr lang="en-US" sz="1800" b="0" i="1">
                                  <a:latin typeface="Cambria Math" panose="02040503050406030204" pitchFamily="18" charset="0"/>
                                </a:rPr>
                              </m:ctrlPr>
                            </m:sSubPr>
                            <m:e>
                              <m:r>
                                <a:rPr lang="en-US" sz="1800" b="0" i="1">
                                  <a:latin typeface="Cambria Math" panose="02040503050406030204" pitchFamily="18" charset="0"/>
                                </a:rPr>
                                <m:t>𝑔</m:t>
                              </m:r>
                            </m:e>
                            <m:sub>
                              <m:r>
                                <a:rPr lang="en-US" sz="1800" b="0" i="1">
                                  <a:latin typeface="Cambria Math" panose="02040503050406030204" pitchFamily="18" charset="0"/>
                                </a:rPr>
                                <m:t>𝑡</m:t>
                              </m:r>
                            </m:sub>
                          </m:sSub>
                        </m:e>
                      </m:d>
                      <m:d>
                        <m:dPr>
                          <m:ctrlPr>
                            <a:rPr lang="en-US" sz="1800" b="0" i="1">
                              <a:latin typeface="Cambria Math" panose="02040503050406030204" pitchFamily="18" charset="0"/>
                            </a:rPr>
                          </m:ctrlPr>
                        </m:dPr>
                        <m:e>
                          <m:r>
                            <a:rPr lang="en-US" sz="1800" b="0" i="1">
                              <a:latin typeface="Cambria Math" panose="02040503050406030204" pitchFamily="18" charset="0"/>
                            </a:rPr>
                            <m:t>1+</m:t>
                          </m:r>
                          <m:sSub>
                            <m:sSubPr>
                              <m:ctrlPr>
                                <a:rPr lang="en-US" sz="1800" b="0" i="1">
                                  <a:latin typeface="Cambria Math" panose="02040503050406030204" pitchFamily="18" charset="0"/>
                                </a:rPr>
                              </m:ctrlPr>
                            </m:sSubPr>
                            <m:e>
                              <m:r>
                                <a:rPr lang="en-US" sz="1800" b="0" i="1">
                                  <a:latin typeface="Cambria Math" panose="02040503050406030204" pitchFamily="18" charset="0"/>
                                  <a:ea typeface="Cambria Math" panose="02040503050406030204" pitchFamily="18" charset="0"/>
                                </a:rPr>
                                <m:t>𝜋</m:t>
                              </m:r>
                            </m:e>
                            <m:sub>
                              <m:r>
                                <a:rPr lang="en-US" sz="1800" b="0" i="1">
                                  <a:latin typeface="Cambria Math" panose="02040503050406030204" pitchFamily="18" charset="0"/>
                                </a:rPr>
                                <m:t>𝑡</m:t>
                              </m:r>
                            </m:sub>
                          </m:sSub>
                        </m:e>
                      </m:d>
                    </m:den>
                  </m:f>
                  <m:sSub>
                    <m:sSubPr>
                      <m:ctrlPr>
                        <a:rPr lang="en-US" sz="1800" b="0" i="1">
                          <a:latin typeface="Cambria Math" panose="02040503050406030204" pitchFamily="18" charset="0"/>
                        </a:rPr>
                      </m:ctrlPr>
                    </m:sSubPr>
                    <m:e>
                      <m:r>
                        <a:rPr lang="en-US" sz="1800" b="0" i="1">
                          <a:latin typeface="Cambria Math" panose="02040503050406030204" pitchFamily="18" charset="0"/>
                        </a:rPr>
                        <m:t>𝑑</m:t>
                      </m:r>
                    </m:e>
                    <m:sub>
                      <m:r>
                        <a:rPr lang="en-US" sz="1800" b="0" i="1">
                          <a:latin typeface="Cambria Math" panose="02040503050406030204" pitchFamily="18" charset="0"/>
                        </a:rPr>
                        <m:t>𝑡</m:t>
                      </m:r>
                      <m:r>
                        <a:rPr lang="en-US" sz="1800" b="0" i="1">
                          <a:latin typeface="Cambria Math" panose="02040503050406030204" pitchFamily="18" charset="0"/>
                        </a:rPr>
                        <m:t>−1</m:t>
                      </m:r>
                    </m:sub>
                  </m:sSub>
                </m:oMath>
              </a14:m>
              <a:r>
                <a:rPr lang="en-US" sz="1800"/>
                <a:t>+</a:t>
              </a:r>
              <a14:m>
                <m:oMath xmlns:m="http://schemas.openxmlformats.org/officeDocument/2006/math">
                  <m:f>
                    <m:fPr>
                      <m:ctrlPr>
                        <a:rPr lang="en-US" sz="1800" i="1">
                          <a:latin typeface="Cambria Math" panose="02040503050406030204" pitchFamily="18" charset="0"/>
                        </a:rPr>
                      </m:ctrlPr>
                    </m:fPr>
                    <m:num>
                      <m:sSub>
                        <m:sSubPr>
                          <m:ctrlPr>
                            <a:rPr lang="en-US" sz="1800" i="1">
                              <a:latin typeface="Cambria Math" panose="02040503050406030204" pitchFamily="18" charset="0"/>
                            </a:rPr>
                          </m:ctrlPr>
                        </m:sSubPr>
                        <m:e>
                          <m:r>
                            <a:rPr lang="en-US" sz="1800" i="1">
                              <a:latin typeface="Cambria Math" panose="02040503050406030204" pitchFamily="18" charset="0"/>
                              <a:ea typeface="Cambria Math" panose="02040503050406030204" pitchFamily="18" charset="0"/>
                            </a:rPr>
                            <m:t>∆</m:t>
                          </m:r>
                          <m:r>
                            <a:rPr lang="en-US" sz="1800" b="0" i="1">
                              <a:latin typeface="Cambria Math" panose="02040503050406030204" pitchFamily="18" charset="0"/>
                            </a:rPr>
                            <m:t>𝑒</m:t>
                          </m:r>
                        </m:e>
                        <m:sub>
                          <m:r>
                            <a:rPr lang="en-US" sz="1800" b="0" i="1">
                              <a:latin typeface="Cambria Math" panose="02040503050406030204" pitchFamily="18" charset="0"/>
                            </a:rPr>
                            <m:t>𝑡</m:t>
                          </m:r>
                        </m:sub>
                      </m:sSub>
                    </m:num>
                    <m:den>
                      <m:d>
                        <m:dPr>
                          <m:ctrlPr>
                            <a:rPr lang="en-US" sz="1800" b="0" i="1">
                              <a:latin typeface="Cambria Math" panose="02040503050406030204" pitchFamily="18" charset="0"/>
                            </a:rPr>
                          </m:ctrlPr>
                        </m:dPr>
                        <m:e>
                          <m:r>
                            <a:rPr lang="en-US" sz="1800" b="0" i="1">
                              <a:latin typeface="Cambria Math" panose="02040503050406030204" pitchFamily="18" charset="0"/>
                            </a:rPr>
                            <m:t>1+</m:t>
                          </m:r>
                          <m:sSub>
                            <m:sSubPr>
                              <m:ctrlPr>
                                <a:rPr lang="en-US" sz="1800" b="0" i="1">
                                  <a:latin typeface="Cambria Math" panose="02040503050406030204" pitchFamily="18" charset="0"/>
                                </a:rPr>
                              </m:ctrlPr>
                            </m:sSubPr>
                            <m:e>
                              <m:r>
                                <a:rPr lang="en-US" sz="1800" b="0" i="1">
                                  <a:latin typeface="Cambria Math" panose="02040503050406030204" pitchFamily="18" charset="0"/>
                                </a:rPr>
                                <m:t>𝑔</m:t>
                              </m:r>
                            </m:e>
                            <m:sub>
                              <m:r>
                                <a:rPr lang="en-US" sz="1800" b="0" i="1">
                                  <a:latin typeface="Cambria Math" panose="02040503050406030204" pitchFamily="18" charset="0"/>
                                </a:rPr>
                                <m:t>𝑡</m:t>
                              </m:r>
                            </m:sub>
                          </m:sSub>
                        </m:e>
                      </m:d>
                      <m:d>
                        <m:dPr>
                          <m:ctrlPr>
                            <a:rPr lang="en-US" sz="1800" b="0" i="1">
                              <a:latin typeface="Cambria Math" panose="02040503050406030204" pitchFamily="18" charset="0"/>
                            </a:rPr>
                          </m:ctrlPr>
                        </m:dPr>
                        <m:e>
                          <m:r>
                            <a:rPr lang="en-US" sz="1800" b="0" i="1">
                              <a:latin typeface="Cambria Math" panose="02040503050406030204" pitchFamily="18" charset="0"/>
                            </a:rPr>
                            <m:t>1+</m:t>
                          </m:r>
                          <m:sSub>
                            <m:sSubPr>
                              <m:ctrlPr>
                                <a:rPr lang="en-US" sz="1800" b="0" i="1">
                                  <a:latin typeface="Cambria Math" panose="02040503050406030204" pitchFamily="18" charset="0"/>
                                </a:rPr>
                              </m:ctrlPr>
                            </m:sSubPr>
                            <m:e>
                              <m:r>
                                <a:rPr lang="en-US" sz="1800" b="0" i="1">
                                  <a:latin typeface="Cambria Math" panose="02040503050406030204" pitchFamily="18" charset="0"/>
                                  <a:ea typeface="Cambria Math" panose="02040503050406030204" pitchFamily="18" charset="0"/>
                                </a:rPr>
                                <m:t>𝜋</m:t>
                              </m:r>
                            </m:e>
                            <m:sub>
                              <m:r>
                                <a:rPr lang="en-US" sz="1800" b="0" i="1">
                                  <a:latin typeface="Cambria Math" panose="02040503050406030204" pitchFamily="18" charset="0"/>
                                </a:rPr>
                                <m:t>𝑡</m:t>
                              </m:r>
                            </m:sub>
                          </m:sSub>
                        </m:e>
                      </m:d>
                    </m:den>
                  </m:f>
                  <m:sSub>
                    <m:sSubPr>
                      <m:ctrlPr>
                        <a:rPr lang="en-US" sz="1800" b="0" i="1">
                          <a:latin typeface="Cambria Math" panose="02040503050406030204" pitchFamily="18" charset="0"/>
                        </a:rPr>
                      </m:ctrlPr>
                    </m:sSubPr>
                    <m:e>
                      <m:r>
                        <a:rPr lang="en-US" sz="1800" b="0" i="1">
                          <a:latin typeface="Cambria Math" panose="02040503050406030204" pitchFamily="18" charset="0"/>
                          <a:ea typeface="Cambria Math" panose="02040503050406030204" pitchFamily="18" charset="0"/>
                        </a:rPr>
                        <m:t>𝛼</m:t>
                      </m:r>
                    </m:e>
                    <m:sub>
                      <m:r>
                        <a:rPr lang="en-US" sz="1800" b="0" i="1">
                          <a:latin typeface="Cambria Math" panose="02040503050406030204" pitchFamily="18" charset="0"/>
                        </a:rPr>
                        <m:t>𝑡</m:t>
                      </m:r>
                      <m:r>
                        <a:rPr lang="en-US" sz="1800" b="0" i="1">
                          <a:latin typeface="Cambria Math" panose="02040503050406030204" pitchFamily="18" charset="0"/>
                        </a:rPr>
                        <m:t>−1</m:t>
                      </m:r>
                    </m:sub>
                  </m:sSub>
                  <m:sSub>
                    <m:sSubPr>
                      <m:ctrlPr>
                        <a:rPr lang="en-US" sz="1800" b="0" i="1">
                          <a:latin typeface="Cambria Math" panose="02040503050406030204" pitchFamily="18" charset="0"/>
                        </a:rPr>
                      </m:ctrlPr>
                    </m:sSubPr>
                    <m:e>
                      <m:r>
                        <a:rPr lang="en-US" sz="1800" b="0" i="1">
                          <a:latin typeface="Cambria Math" panose="02040503050406030204" pitchFamily="18" charset="0"/>
                        </a:rPr>
                        <m:t>𝑑</m:t>
                      </m:r>
                    </m:e>
                    <m:sub>
                      <m:r>
                        <a:rPr lang="en-US" sz="1800" b="0" i="1">
                          <a:latin typeface="Cambria Math" panose="02040503050406030204" pitchFamily="18" charset="0"/>
                        </a:rPr>
                        <m:t>𝑡</m:t>
                      </m:r>
                      <m:r>
                        <a:rPr lang="en-US" sz="1800" b="0" i="1">
                          <a:latin typeface="Cambria Math" panose="02040503050406030204" pitchFamily="18" charset="0"/>
                        </a:rPr>
                        <m:t>−1</m:t>
                      </m:r>
                    </m:sub>
                  </m:sSub>
                  <m:r>
                    <a:rPr lang="en-US" sz="1800" b="0" i="1">
                      <a:latin typeface="Cambria Math" panose="02040503050406030204" pitchFamily="18" charset="0"/>
                    </a:rPr>
                    <m:t>−</m:t>
                  </m:r>
                  <m:f>
                    <m:fPr>
                      <m:ctrlPr>
                        <a:rPr lang="en-US" sz="1800" i="1">
                          <a:latin typeface="Cambria Math" panose="02040503050406030204" pitchFamily="18" charset="0"/>
                        </a:rPr>
                      </m:ctrlPr>
                    </m:fPr>
                    <m:num>
                      <m:sSub>
                        <m:sSubPr>
                          <m:ctrlPr>
                            <a:rPr lang="en-US" sz="1800" i="1">
                              <a:latin typeface="Cambria Math" panose="02040503050406030204" pitchFamily="18" charset="0"/>
                            </a:rPr>
                          </m:ctrlPr>
                        </m:sSubPr>
                        <m:e>
                          <m:r>
                            <a:rPr lang="en-US" sz="1800" b="0" i="1">
                              <a:latin typeface="Cambria Math" panose="02040503050406030204" pitchFamily="18" charset="0"/>
                            </a:rPr>
                            <m:t>𝑔</m:t>
                          </m:r>
                        </m:e>
                        <m:sub>
                          <m:r>
                            <a:rPr lang="en-US" sz="1800" b="0" i="1">
                              <a:latin typeface="Cambria Math" panose="02040503050406030204" pitchFamily="18" charset="0"/>
                            </a:rPr>
                            <m:t>𝑡</m:t>
                          </m:r>
                        </m:sub>
                      </m:sSub>
                    </m:num>
                    <m:den>
                      <m:d>
                        <m:dPr>
                          <m:ctrlPr>
                            <a:rPr lang="en-US" sz="1800" b="0" i="1">
                              <a:latin typeface="Cambria Math" panose="02040503050406030204" pitchFamily="18" charset="0"/>
                            </a:rPr>
                          </m:ctrlPr>
                        </m:dPr>
                        <m:e>
                          <m:r>
                            <a:rPr lang="en-US" sz="1800" b="0" i="1">
                              <a:latin typeface="Cambria Math" panose="02040503050406030204" pitchFamily="18" charset="0"/>
                            </a:rPr>
                            <m:t>1+</m:t>
                          </m:r>
                          <m:sSub>
                            <m:sSubPr>
                              <m:ctrlPr>
                                <a:rPr lang="en-US" sz="1800" b="0" i="1">
                                  <a:latin typeface="Cambria Math" panose="02040503050406030204" pitchFamily="18" charset="0"/>
                                </a:rPr>
                              </m:ctrlPr>
                            </m:sSubPr>
                            <m:e>
                              <m:r>
                                <a:rPr lang="en-US" sz="1800" b="0" i="1">
                                  <a:latin typeface="Cambria Math" panose="02040503050406030204" pitchFamily="18" charset="0"/>
                                </a:rPr>
                                <m:t>𝑔</m:t>
                              </m:r>
                            </m:e>
                            <m:sub>
                              <m:r>
                                <a:rPr lang="en-US" sz="1800" b="0" i="1">
                                  <a:latin typeface="Cambria Math" panose="02040503050406030204" pitchFamily="18" charset="0"/>
                                </a:rPr>
                                <m:t>𝑡</m:t>
                              </m:r>
                            </m:sub>
                          </m:sSub>
                        </m:e>
                      </m:d>
                      <m:d>
                        <m:dPr>
                          <m:ctrlPr>
                            <a:rPr lang="en-US" sz="1800" b="0" i="1">
                              <a:latin typeface="Cambria Math" panose="02040503050406030204" pitchFamily="18" charset="0"/>
                            </a:rPr>
                          </m:ctrlPr>
                        </m:dPr>
                        <m:e>
                          <m:r>
                            <a:rPr lang="en-US" sz="1800" b="0" i="1">
                              <a:latin typeface="Cambria Math" panose="02040503050406030204" pitchFamily="18" charset="0"/>
                            </a:rPr>
                            <m:t>1+</m:t>
                          </m:r>
                          <m:sSub>
                            <m:sSubPr>
                              <m:ctrlPr>
                                <a:rPr lang="en-US" sz="1800" b="0" i="1">
                                  <a:latin typeface="Cambria Math" panose="02040503050406030204" pitchFamily="18" charset="0"/>
                                </a:rPr>
                              </m:ctrlPr>
                            </m:sSubPr>
                            <m:e>
                              <m:r>
                                <a:rPr lang="en-US" sz="1800" b="0" i="1">
                                  <a:latin typeface="Cambria Math" panose="02040503050406030204" pitchFamily="18" charset="0"/>
                                  <a:ea typeface="Cambria Math" panose="02040503050406030204" pitchFamily="18" charset="0"/>
                                </a:rPr>
                                <m:t>𝜋</m:t>
                              </m:r>
                            </m:e>
                            <m:sub>
                              <m:r>
                                <a:rPr lang="en-US" sz="1800" b="0" i="1">
                                  <a:latin typeface="Cambria Math" panose="02040503050406030204" pitchFamily="18" charset="0"/>
                                </a:rPr>
                                <m:t>𝑡</m:t>
                              </m:r>
                            </m:sub>
                          </m:sSub>
                        </m:e>
                      </m:d>
                    </m:den>
                  </m:f>
                  <m:sSub>
                    <m:sSubPr>
                      <m:ctrlPr>
                        <a:rPr lang="en-US" sz="1800" b="0" i="1">
                          <a:latin typeface="Cambria Math" panose="02040503050406030204" pitchFamily="18" charset="0"/>
                        </a:rPr>
                      </m:ctrlPr>
                    </m:sSubPr>
                    <m:e>
                      <m:r>
                        <a:rPr lang="en-US" sz="1800" b="0" i="1">
                          <a:latin typeface="Cambria Math" panose="02040503050406030204" pitchFamily="18" charset="0"/>
                        </a:rPr>
                        <m:t>𝑑</m:t>
                      </m:r>
                    </m:e>
                    <m:sub>
                      <m:r>
                        <a:rPr lang="en-US" sz="1800" b="0" i="1">
                          <a:latin typeface="Cambria Math" panose="02040503050406030204" pitchFamily="18" charset="0"/>
                        </a:rPr>
                        <m:t>𝑡</m:t>
                      </m:r>
                      <m:r>
                        <a:rPr lang="en-US" sz="1800" b="0" i="1">
                          <a:latin typeface="Cambria Math" panose="02040503050406030204" pitchFamily="18" charset="0"/>
                        </a:rPr>
                        <m:t>−1</m:t>
                      </m:r>
                    </m:sub>
                  </m:sSub>
                  <m:r>
                    <a:rPr lang="en-US" sz="1800" b="0" i="1">
                      <a:latin typeface="Cambria Math" panose="02040503050406030204" pitchFamily="18" charset="0"/>
                    </a:rPr>
                    <m:t>−</m:t>
                  </m:r>
                  <m:sSub>
                    <m:sSubPr>
                      <m:ctrlPr>
                        <a:rPr lang="en-US" sz="1800" b="0" i="1">
                          <a:latin typeface="Cambria Math" panose="02040503050406030204" pitchFamily="18" charset="0"/>
                        </a:rPr>
                      </m:ctrlPr>
                    </m:sSubPr>
                    <m:e>
                      <m:r>
                        <a:rPr lang="en-US" sz="1800" b="0" i="1">
                          <a:latin typeface="Cambria Math" panose="02040503050406030204" pitchFamily="18" charset="0"/>
                        </a:rPr>
                        <m:t>𝑏</m:t>
                      </m:r>
                    </m:e>
                    <m:sub>
                      <m:r>
                        <a:rPr lang="en-US" sz="1800" b="0" i="1">
                          <a:latin typeface="Cambria Math" panose="02040503050406030204" pitchFamily="18" charset="0"/>
                        </a:rPr>
                        <m:t>𝑡</m:t>
                      </m:r>
                    </m:sub>
                  </m:sSub>
                  <m:r>
                    <a:rPr lang="en-US" sz="1800" b="0" i="1">
                      <a:latin typeface="Cambria Math" panose="02040503050406030204" pitchFamily="18" charset="0"/>
                    </a:rPr>
                    <m:t>+</m:t>
                  </m:r>
                  <m:sSub>
                    <m:sSubPr>
                      <m:ctrlPr>
                        <a:rPr lang="en-US" sz="1800" b="0" i="1">
                          <a:latin typeface="Cambria Math" panose="02040503050406030204" pitchFamily="18" charset="0"/>
                        </a:rPr>
                      </m:ctrlPr>
                    </m:sSubPr>
                    <m:e>
                      <m:r>
                        <a:rPr lang="en-US" sz="1800" b="0" i="1">
                          <a:latin typeface="Cambria Math" panose="02040503050406030204" pitchFamily="18" charset="0"/>
                        </a:rPr>
                        <m:t>𝑠𝑓𝑎</m:t>
                      </m:r>
                    </m:e>
                    <m:sub>
                      <m:r>
                        <a:rPr lang="en-US" sz="1800" b="0" i="1">
                          <a:latin typeface="Cambria Math" panose="02040503050406030204" pitchFamily="18" charset="0"/>
                        </a:rPr>
                        <m:t>𝑡</m:t>
                      </m:r>
                    </m:sub>
                  </m:sSub>
                </m:oMath>
              </a14:m>
              <a:endParaRPr lang="en-US" sz="1800"/>
            </a:p>
          </xdr:txBody>
        </xdr:sp>
      </mc:Choice>
      <mc:Fallback xmlns="">
        <xdr:sp macro="" textlink="">
          <xdr:nvSpPr>
            <xdr:cNvPr id="2" name="TextBox 1">
              <a:extLst>
                <a:ext uri="{FF2B5EF4-FFF2-40B4-BE49-F238E27FC236}">
                  <a16:creationId xmlns:a16="http://schemas.microsoft.com/office/drawing/2014/main" id="{28C73F3B-0633-CC4F-80BA-2192819AF988}"/>
                </a:ext>
              </a:extLst>
            </xdr:cNvPr>
            <xdr:cNvSpPr txBox="1"/>
          </xdr:nvSpPr>
          <xdr:spPr>
            <a:xfrm>
              <a:off x="297744" y="19826110"/>
              <a:ext cx="10342034" cy="4519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800" b="0" i="0">
                  <a:latin typeface="Cambria Math" panose="02040503050406030204" pitchFamily="18" charset="0"/>
                </a:rPr>
                <a:t>𝑑_𝑡−𝑑_(𝑡−1)=𝑖_𝑡/(1+𝑔_𝑡 )(1+</a:t>
              </a:r>
              <a:r>
                <a:rPr lang="en-US" sz="1800" b="0" i="0">
                  <a:latin typeface="Cambria Math" panose="02040503050406030204" pitchFamily="18" charset="0"/>
                  <a:ea typeface="Cambria Math" panose="02040503050406030204" pitchFamily="18" charset="0"/>
                </a:rPr>
                <a:t>𝜋_</a:t>
              </a:r>
              <a:r>
                <a:rPr lang="en-US" sz="1800" b="0" i="0">
                  <a:latin typeface="Cambria Math" panose="02040503050406030204" pitchFamily="18" charset="0"/>
                </a:rPr>
                <a:t>𝑡 )  𝑑_(𝑡−1)−</a:t>
              </a:r>
              <a:r>
                <a:rPr lang="en-US" sz="1800" i="0">
                  <a:latin typeface="Cambria Math" panose="02040503050406030204" pitchFamily="18" charset="0"/>
                  <a:ea typeface="Cambria Math" panose="02040503050406030204" pitchFamily="18" charset="0"/>
                </a:rPr>
                <a:t>𝜋_</a:t>
              </a:r>
              <a:r>
                <a:rPr lang="en-US" sz="1800" b="0" i="0">
                  <a:latin typeface="Cambria Math" panose="02040503050406030204" pitchFamily="18" charset="0"/>
                </a:rPr>
                <a:t>𝑡/(1+𝑔_𝑡 )(1+</a:t>
              </a:r>
              <a:r>
                <a:rPr lang="en-US" sz="1800" b="0" i="0">
                  <a:latin typeface="Cambria Math" panose="02040503050406030204" pitchFamily="18" charset="0"/>
                  <a:ea typeface="Cambria Math" panose="02040503050406030204" pitchFamily="18" charset="0"/>
                </a:rPr>
                <a:t>𝜋_</a:t>
              </a:r>
              <a:r>
                <a:rPr lang="en-US" sz="1800" b="0" i="0">
                  <a:latin typeface="Cambria Math" panose="02040503050406030204" pitchFamily="18" charset="0"/>
                </a:rPr>
                <a:t>𝑡 )  𝑑_(𝑡−1)</a:t>
              </a:r>
              <a:r>
                <a:rPr lang="en-US" sz="1800"/>
                <a:t>+</a:t>
              </a:r>
              <a:r>
                <a:rPr lang="en-US" sz="1800" i="0">
                  <a:latin typeface="Cambria Math" panose="02040503050406030204" pitchFamily="18" charset="0"/>
                </a:rPr>
                <a:t>〖</a:t>
              </a:r>
              <a:r>
                <a:rPr lang="en-US" sz="1800" i="0">
                  <a:latin typeface="Cambria Math" panose="02040503050406030204" pitchFamily="18" charset="0"/>
                  <a:ea typeface="Cambria Math" panose="02040503050406030204" pitchFamily="18" charset="0"/>
                </a:rPr>
                <a:t>∆</a:t>
              </a:r>
              <a:r>
                <a:rPr lang="en-US" sz="1800" b="0" i="0">
                  <a:latin typeface="Cambria Math" panose="02040503050406030204" pitchFamily="18" charset="0"/>
                </a:rPr>
                <a:t>𝑒〗_𝑡/(1+𝑔_𝑡 )(1+</a:t>
              </a:r>
              <a:r>
                <a:rPr lang="en-US" sz="1800" b="0" i="0">
                  <a:latin typeface="Cambria Math" panose="02040503050406030204" pitchFamily="18" charset="0"/>
                  <a:ea typeface="Cambria Math" panose="02040503050406030204" pitchFamily="18" charset="0"/>
                </a:rPr>
                <a:t>𝜋_</a:t>
              </a:r>
              <a:r>
                <a:rPr lang="en-US" sz="1800" b="0" i="0">
                  <a:latin typeface="Cambria Math" panose="02040503050406030204" pitchFamily="18" charset="0"/>
                </a:rPr>
                <a:t>𝑡 )  </a:t>
              </a:r>
              <a:r>
                <a:rPr lang="en-US" sz="1800" b="0" i="0">
                  <a:latin typeface="Cambria Math" panose="02040503050406030204" pitchFamily="18" charset="0"/>
                  <a:ea typeface="Cambria Math" panose="02040503050406030204" pitchFamily="18" charset="0"/>
                </a:rPr>
                <a:t>𝛼_(</a:t>
              </a:r>
              <a:r>
                <a:rPr lang="en-US" sz="1800" b="0" i="0">
                  <a:latin typeface="Cambria Math" panose="02040503050406030204" pitchFamily="18" charset="0"/>
                </a:rPr>
                <a:t>𝑡−1) 𝑑_(𝑡−1)−𝑔_𝑡/(1+𝑔_𝑡 )(1+</a:t>
              </a:r>
              <a:r>
                <a:rPr lang="en-US" sz="1800" b="0" i="0">
                  <a:latin typeface="Cambria Math" panose="02040503050406030204" pitchFamily="18" charset="0"/>
                  <a:ea typeface="Cambria Math" panose="02040503050406030204" pitchFamily="18" charset="0"/>
                </a:rPr>
                <a:t>𝜋_</a:t>
              </a:r>
              <a:r>
                <a:rPr lang="en-US" sz="1800" b="0" i="0">
                  <a:latin typeface="Cambria Math" panose="02040503050406030204" pitchFamily="18" charset="0"/>
                </a:rPr>
                <a:t>𝑡 )  𝑑_(𝑡−1)−𝑏_𝑡+〖𝑠𝑓𝑎〗_𝑡</a:t>
              </a:r>
              <a:endParaRPr lang="en-US" sz="1800"/>
            </a:p>
          </xdr:txBody>
        </xdr:sp>
      </mc:Fallback>
    </mc:AlternateContent>
    <xdr:clientData/>
  </xdr:oneCellAnchor>
  <xdr:twoCellAnchor>
    <xdr:from>
      <xdr:col>15</xdr:col>
      <xdr:colOff>218965</xdr:colOff>
      <xdr:row>149</xdr:row>
      <xdr:rowOff>134533</xdr:rowOff>
    </xdr:from>
    <xdr:to>
      <xdr:col>25</xdr:col>
      <xdr:colOff>685799</xdr:colOff>
      <xdr:row>172</xdr:row>
      <xdr:rowOff>197068</xdr:rowOff>
    </xdr:to>
    <xdr:graphicFrame macro="">
      <xdr:nvGraphicFramePr>
        <xdr:cNvPr id="3" name="Chart 2">
          <a:extLst>
            <a:ext uri="{FF2B5EF4-FFF2-40B4-BE49-F238E27FC236}">
              <a16:creationId xmlns:a16="http://schemas.microsoft.com/office/drawing/2014/main" id="{51084206-1B6A-C54E-AD3B-EEFDEB99C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265288</xdr:colOff>
      <xdr:row>149</xdr:row>
      <xdr:rowOff>93134</xdr:rowOff>
    </xdr:from>
    <xdr:to>
      <xdr:col>35</xdr:col>
      <xdr:colOff>131379</xdr:colOff>
      <xdr:row>173</xdr:row>
      <xdr:rowOff>21897</xdr:rowOff>
    </xdr:to>
    <xdr:graphicFrame macro="">
      <xdr:nvGraphicFramePr>
        <xdr:cNvPr id="4" name="Chart 3">
          <a:extLst>
            <a:ext uri="{FF2B5EF4-FFF2-40B4-BE49-F238E27FC236}">
              <a16:creationId xmlns:a16="http://schemas.microsoft.com/office/drawing/2014/main" id="{D899BAEB-C14B-6045-AE5E-A7FAB1DC3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303130</xdr:colOff>
      <xdr:row>150</xdr:row>
      <xdr:rowOff>8731</xdr:rowOff>
    </xdr:from>
    <xdr:to>
      <xdr:col>43</xdr:col>
      <xdr:colOff>350345</xdr:colOff>
      <xdr:row>173</xdr:row>
      <xdr:rowOff>162050</xdr:rowOff>
    </xdr:to>
    <xdr:graphicFrame macro="">
      <xdr:nvGraphicFramePr>
        <xdr:cNvPr id="5" name="Chart 4">
          <a:extLst>
            <a:ext uri="{FF2B5EF4-FFF2-40B4-BE49-F238E27FC236}">
              <a16:creationId xmlns:a16="http://schemas.microsoft.com/office/drawing/2014/main" id="{9E6F56BB-C505-D34D-850C-49544DB5B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28</xdr:col>
      <xdr:colOff>93134</xdr:colOff>
      <xdr:row>24</xdr:row>
      <xdr:rowOff>16329</xdr:rowOff>
    </xdr:from>
    <xdr:to>
      <xdr:col>40</xdr:col>
      <xdr:colOff>793556</xdr:colOff>
      <xdr:row>45</xdr:row>
      <xdr:rowOff>176373</xdr:rowOff>
    </xdr:to>
    <xdr:graphicFrame macro="">
      <xdr:nvGraphicFramePr>
        <xdr:cNvPr id="2" name="Chart 1">
          <a:extLst>
            <a:ext uri="{FF2B5EF4-FFF2-40B4-BE49-F238E27FC236}">
              <a16:creationId xmlns:a16="http://schemas.microsoft.com/office/drawing/2014/main" id="{4927F80B-E4A1-3B46-A21D-CA9D59EE7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338666</xdr:colOff>
      <xdr:row>24</xdr:row>
      <xdr:rowOff>24995</xdr:rowOff>
    </xdr:from>
    <xdr:to>
      <xdr:col>27</xdr:col>
      <xdr:colOff>321732</xdr:colOff>
      <xdr:row>45</xdr:row>
      <xdr:rowOff>185040</xdr:rowOff>
    </xdr:to>
    <xdr:graphicFrame macro="">
      <xdr:nvGraphicFramePr>
        <xdr:cNvPr id="3" name="Chart 3">
          <a:extLst>
            <a:ext uri="{FF2B5EF4-FFF2-40B4-BE49-F238E27FC236}">
              <a16:creationId xmlns:a16="http://schemas.microsoft.com/office/drawing/2014/main" id="{FCCD551B-9B34-8245-B3E2-8C432079C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367631</xdr:colOff>
      <xdr:row>48</xdr:row>
      <xdr:rowOff>84318</xdr:rowOff>
    </xdr:from>
    <xdr:to>
      <xdr:col>39</xdr:col>
      <xdr:colOff>796526</xdr:colOff>
      <xdr:row>69</xdr:row>
      <xdr:rowOff>149819</xdr:rowOff>
    </xdr:to>
    <xdr:graphicFrame macro="">
      <xdr:nvGraphicFramePr>
        <xdr:cNvPr id="4" name="Chart 3">
          <a:extLst>
            <a:ext uri="{FF2B5EF4-FFF2-40B4-BE49-F238E27FC236}">
              <a16:creationId xmlns:a16="http://schemas.microsoft.com/office/drawing/2014/main" id="{73710DD5-B7D3-3947-A4CD-0E3FC1C08D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165189</xdr:colOff>
      <xdr:row>48</xdr:row>
      <xdr:rowOff>22734</xdr:rowOff>
    </xdr:from>
    <xdr:to>
      <xdr:col>24</xdr:col>
      <xdr:colOff>392221</xdr:colOff>
      <xdr:row>69</xdr:row>
      <xdr:rowOff>75535</xdr:rowOff>
    </xdr:to>
    <xdr:graphicFrame macro="">
      <xdr:nvGraphicFramePr>
        <xdr:cNvPr id="5" name="Chart 4">
          <a:extLst>
            <a:ext uri="{FF2B5EF4-FFF2-40B4-BE49-F238E27FC236}">
              <a16:creationId xmlns:a16="http://schemas.microsoft.com/office/drawing/2014/main" id="{0A3167E1-05EC-8041-A9D9-20BFFBD467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233948</xdr:colOff>
      <xdr:row>24</xdr:row>
      <xdr:rowOff>14557</xdr:rowOff>
    </xdr:from>
    <xdr:to>
      <xdr:col>51</xdr:col>
      <xdr:colOff>168442</xdr:colOff>
      <xdr:row>46</xdr:row>
      <xdr:rowOff>5269</xdr:rowOff>
    </xdr:to>
    <xdr:graphicFrame macro="">
      <xdr:nvGraphicFramePr>
        <xdr:cNvPr id="6" name="Chart 5">
          <a:extLst>
            <a:ext uri="{FF2B5EF4-FFF2-40B4-BE49-F238E27FC236}">
              <a16:creationId xmlns:a16="http://schemas.microsoft.com/office/drawing/2014/main" id="{62DEA5C2-53D4-3848-B28A-E582AB023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24</xdr:row>
      <xdr:rowOff>0</xdr:rowOff>
    </xdr:from>
    <xdr:to>
      <xdr:col>11</xdr:col>
      <xdr:colOff>135467</xdr:colOff>
      <xdr:row>45</xdr:row>
      <xdr:rowOff>192400</xdr:rowOff>
    </xdr:to>
    <xdr:graphicFrame macro="">
      <xdr:nvGraphicFramePr>
        <xdr:cNvPr id="7" name="Chart 3">
          <a:extLst>
            <a:ext uri="{FF2B5EF4-FFF2-40B4-BE49-F238E27FC236}">
              <a16:creationId xmlns:a16="http://schemas.microsoft.com/office/drawing/2014/main" id="{2EF5DBEA-48D2-CE47-AD78-6D406E3D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47</xdr:row>
      <xdr:rowOff>144140</xdr:rowOff>
    </xdr:from>
    <xdr:to>
      <xdr:col>8</xdr:col>
      <xdr:colOff>327740</xdr:colOff>
      <xdr:row>69</xdr:row>
      <xdr:rowOff>5532</xdr:rowOff>
    </xdr:to>
    <xdr:graphicFrame macro="">
      <xdr:nvGraphicFramePr>
        <xdr:cNvPr id="8" name="Chart 7">
          <a:extLst>
            <a:ext uri="{FF2B5EF4-FFF2-40B4-BE49-F238E27FC236}">
              <a16:creationId xmlns:a16="http://schemas.microsoft.com/office/drawing/2014/main" id="{04C37CE8-57EE-FA4E-A30C-726E7414A8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0.89695</cdr:x>
      <cdr:y>0.09164</cdr:y>
    </cdr:from>
    <cdr:to>
      <cdr:x>1</cdr:x>
      <cdr:y>0.81956</cdr:y>
    </cdr:to>
    <cdr:sp macro="" textlink="">
      <cdr:nvSpPr>
        <cdr:cNvPr id="2" name="Rectángulo 1">
          <a:extLst xmlns:a="http://schemas.openxmlformats.org/drawingml/2006/main">
            <a:ext uri="{FF2B5EF4-FFF2-40B4-BE49-F238E27FC236}">
              <a16:creationId xmlns:a16="http://schemas.microsoft.com/office/drawing/2014/main" id="{B9A500ED-F862-07D2-BACC-4D872D100331}"/>
            </a:ext>
          </a:extLst>
        </cdr:cNvPr>
        <cdr:cNvSpPr/>
      </cdr:nvSpPr>
      <cdr:spPr>
        <a:xfrm xmlns:a="http://schemas.openxmlformats.org/drawingml/2006/main">
          <a:off x="6612466" y="373138"/>
          <a:ext cx="759689" cy="2963824"/>
        </a:xfrm>
        <a:prstGeom xmlns:a="http://schemas.openxmlformats.org/drawingml/2006/main" prst="rect">
          <a:avLst/>
        </a:prstGeom>
        <a:noFill xmlns:a="http://schemas.openxmlformats.org/drawingml/2006/main"/>
        <a:ln xmlns:a="http://schemas.openxmlformats.org/drawingml/2006/main" w="19050">
          <a:solidFill>
            <a:srgbClr val="C00000"/>
          </a:solidFill>
          <a:prstDash val="dash"/>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O"/>
        </a:p>
      </cdr:txBody>
    </cdr:sp>
  </cdr:relSizeAnchor>
</c:userShapes>
</file>

<file path=xl/drawings/drawing6.xml><?xml version="1.0" encoding="utf-8"?>
<xdr:wsDr xmlns:xdr="http://schemas.openxmlformats.org/drawingml/2006/spreadsheetDrawing" xmlns:a="http://schemas.openxmlformats.org/drawingml/2006/main">
  <xdr:oneCellAnchor>
    <xdr:from>
      <xdr:col>0</xdr:col>
      <xdr:colOff>268111</xdr:colOff>
      <xdr:row>5</xdr:row>
      <xdr:rowOff>268111</xdr:rowOff>
    </xdr:from>
    <xdr:ext cx="9256889" cy="438325"/>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3EF14A9A-F516-6544-B987-584227BAA0A9}"/>
                </a:ext>
              </a:extLst>
            </xdr:cNvPr>
            <xdr:cNvSpPr txBox="1"/>
          </xdr:nvSpPr>
          <xdr:spPr>
            <a:xfrm>
              <a:off x="268111" y="3138311"/>
              <a:ext cx="9256889" cy="438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400" b="0" i="1">
                        <a:latin typeface="Cambria Math" panose="02040503050406030204" pitchFamily="18" charset="0"/>
                      </a:rPr>
                      <m:t>𝑆𝑖</m:t>
                    </m:r>
                    <m:r>
                      <a:rPr lang="en-US" sz="1400" b="0" i="1">
                        <a:latin typeface="Cambria Math" panose="02040503050406030204" pitchFamily="18" charset="0"/>
                      </a:rPr>
                      <m:t> </m:t>
                    </m:r>
                    <m:r>
                      <a:rPr lang="en-US" sz="1400" b="0" i="1">
                        <a:latin typeface="Cambria Math" panose="02040503050406030204" pitchFamily="18" charset="0"/>
                      </a:rPr>
                      <m:t>𝑙𝑎</m:t>
                    </m:r>
                    <m:r>
                      <a:rPr lang="en-US" sz="1400" b="0" i="1">
                        <a:latin typeface="Cambria Math" panose="02040503050406030204" pitchFamily="18" charset="0"/>
                      </a:rPr>
                      <m:t> </m:t>
                    </m:r>
                    <m:r>
                      <a:rPr lang="en-US" sz="1400" b="0" i="1">
                        <a:latin typeface="Cambria Math" panose="02040503050406030204" pitchFamily="18" charset="0"/>
                      </a:rPr>
                      <m:t>𝑑𝑒𝑢𝑑𝑎</m:t>
                    </m:r>
                    <m:r>
                      <a:rPr lang="en-US" sz="1400" b="0" i="1">
                        <a:latin typeface="Cambria Math" panose="02040503050406030204" pitchFamily="18" charset="0"/>
                      </a:rPr>
                      <m:t> </m:t>
                    </m:r>
                    <m:r>
                      <a:rPr lang="en-US" sz="1400" b="0" i="1">
                        <a:latin typeface="Cambria Math" panose="02040503050406030204" pitchFamily="18" charset="0"/>
                      </a:rPr>
                      <m:t>𝑒𝑛</m:t>
                    </m:r>
                    <m:r>
                      <a:rPr lang="en-US" sz="1400" b="0" i="1">
                        <a:latin typeface="Cambria Math" panose="02040503050406030204" pitchFamily="18" charset="0"/>
                      </a:rPr>
                      <m:t> </m:t>
                    </m:r>
                    <m:r>
                      <a:rPr lang="en-US" sz="1400" b="0" i="1">
                        <a:latin typeface="Cambria Math" panose="02040503050406030204" pitchFamily="18" charset="0"/>
                      </a:rPr>
                      <m:t>𝑡</m:t>
                    </m:r>
                    <m:r>
                      <a:rPr lang="en-US" sz="1400" b="0" i="1">
                        <a:latin typeface="Cambria Math" panose="02040503050406030204" pitchFamily="18" charset="0"/>
                      </a:rPr>
                      <m:t>−1 </m:t>
                    </m:r>
                    <m:r>
                      <a:rPr lang="en-US" sz="1400" b="0" i="1">
                        <a:latin typeface="Cambria Math" panose="02040503050406030204" pitchFamily="18" charset="0"/>
                      </a:rPr>
                      <m:t>𝑒𝑠</m:t>
                    </m:r>
                    <m:r>
                      <a:rPr lang="en-US" sz="1400" b="0" i="1">
                        <a:latin typeface="Cambria Math" panose="02040503050406030204" pitchFamily="18" charset="0"/>
                      </a:rPr>
                      <m:t> </m:t>
                    </m:r>
                    <m:r>
                      <a:rPr lang="en-US" sz="1400" b="0" i="1">
                        <a:latin typeface="Cambria Math" panose="02040503050406030204" pitchFamily="18" charset="0"/>
                      </a:rPr>
                      <m:t>𝑚𝑒𝑛𝑜𝑟</m:t>
                    </m:r>
                    <m:r>
                      <a:rPr lang="en-US" sz="1400" b="0" i="1">
                        <a:latin typeface="Cambria Math" panose="02040503050406030204" pitchFamily="18" charset="0"/>
                      </a:rPr>
                      <m:t> </m:t>
                    </m:r>
                    <m:r>
                      <a:rPr lang="en-US" sz="1400" b="0" i="1">
                        <a:latin typeface="Cambria Math" panose="02040503050406030204" pitchFamily="18" charset="0"/>
                      </a:rPr>
                      <m:t>𝑜</m:t>
                    </m:r>
                    <m:r>
                      <a:rPr lang="en-US" sz="1400" b="0" i="1">
                        <a:latin typeface="Cambria Math" panose="02040503050406030204" pitchFamily="18" charset="0"/>
                      </a:rPr>
                      <m:t> </m:t>
                    </m:r>
                    <m:r>
                      <a:rPr lang="en-US" sz="1400" b="0" i="1">
                        <a:latin typeface="Cambria Math" panose="02040503050406030204" pitchFamily="18" charset="0"/>
                      </a:rPr>
                      <m:t>𝑖𝑔𝑢𝑎𝑙</m:t>
                    </m:r>
                    <m:r>
                      <a:rPr lang="en-US" sz="1400" b="0" i="1">
                        <a:latin typeface="Cambria Math" panose="02040503050406030204" pitchFamily="18" charset="0"/>
                      </a:rPr>
                      <m:t> </m:t>
                    </m:r>
                    <m:r>
                      <a:rPr lang="en-US" sz="1400" b="0" i="1">
                        <a:latin typeface="Cambria Math" panose="02040503050406030204" pitchFamily="18" charset="0"/>
                      </a:rPr>
                      <m:t>𝑎</m:t>
                    </m:r>
                    <m:r>
                      <a:rPr lang="en-US" sz="1400" b="0" i="1">
                        <a:latin typeface="Cambria Math" panose="02040503050406030204" pitchFamily="18" charset="0"/>
                      </a:rPr>
                      <m:t> 70% </m:t>
                    </m:r>
                    <m:r>
                      <a:rPr lang="en-US" sz="1400" b="0" i="1">
                        <a:latin typeface="Cambria Math" panose="02040503050406030204" pitchFamily="18" charset="0"/>
                      </a:rPr>
                      <m:t>𝑒𝑛𝑡𝑜𝑛𝑐𝑒𝑠</m:t>
                    </m:r>
                    <m:r>
                      <a:rPr lang="en-US" sz="1400" b="0" i="1">
                        <a:latin typeface="Cambria Math" panose="02040503050406030204" pitchFamily="18" charset="0"/>
                      </a:rPr>
                      <m:t>: </m:t>
                    </m:r>
                    <m:sSub>
                      <m:sSubPr>
                        <m:ctrlPr>
                          <a:rPr lang="en-US" sz="1400" b="1" i="1">
                            <a:solidFill>
                              <a:srgbClr val="4396DB"/>
                            </a:solidFill>
                            <a:latin typeface="Cambria Math" panose="02040503050406030204" pitchFamily="18" charset="0"/>
                          </a:rPr>
                        </m:ctrlPr>
                      </m:sSubPr>
                      <m:e>
                        <m:r>
                          <a:rPr lang="en-US" sz="1400" b="1" i="1">
                            <a:solidFill>
                              <a:srgbClr val="4396DB"/>
                            </a:solidFill>
                            <a:latin typeface="Cambria Math" panose="02040503050406030204" pitchFamily="18" charset="0"/>
                          </a:rPr>
                          <m:t>𝑩𝑷</m:t>
                        </m:r>
                        <m:r>
                          <a:rPr lang="es-ES" sz="1400" b="1" i="1">
                            <a:solidFill>
                              <a:srgbClr val="4396DB"/>
                            </a:solidFill>
                            <a:latin typeface="Cambria Math" panose="02040503050406030204" pitchFamily="18" charset="0"/>
                          </a:rPr>
                          <m:t>𝑵</m:t>
                        </m:r>
                        <m:r>
                          <a:rPr lang="en-US" sz="1400" b="1" i="1">
                            <a:solidFill>
                              <a:srgbClr val="4396DB"/>
                            </a:solidFill>
                            <a:latin typeface="Cambria Math" panose="02040503050406030204" pitchFamily="18" charset="0"/>
                          </a:rPr>
                          <m:t>𝑬</m:t>
                        </m:r>
                      </m:e>
                      <m:sub>
                        <m:r>
                          <a:rPr lang="en-US" sz="1400" b="1" i="1">
                            <a:solidFill>
                              <a:srgbClr val="4396DB"/>
                            </a:solidFill>
                            <a:latin typeface="Cambria Math" panose="02040503050406030204" pitchFamily="18" charset="0"/>
                          </a:rPr>
                          <m:t>𝒕</m:t>
                        </m:r>
                      </m:sub>
                    </m:sSub>
                    <m:r>
                      <a:rPr lang="en-US" sz="1400" b="1" i="1">
                        <a:solidFill>
                          <a:srgbClr val="4396DB"/>
                        </a:solidFill>
                        <a:latin typeface="Cambria Math" panose="02040503050406030204" pitchFamily="18" charset="0"/>
                      </a:rPr>
                      <m:t>=</m:t>
                    </m:r>
                    <m:r>
                      <a:rPr lang="en-US" sz="1400" b="1" i="1">
                        <a:solidFill>
                          <a:srgbClr val="4396DB"/>
                        </a:solidFill>
                        <a:latin typeface="Cambria Math" panose="02040503050406030204" pitchFamily="18" charset="0"/>
                      </a:rPr>
                      <m:t>𝟎</m:t>
                    </m:r>
                    <m:r>
                      <a:rPr lang="en-US" sz="1400" b="1" i="1">
                        <a:solidFill>
                          <a:srgbClr val="4396DB"/>
                        </a:solidFill>
                        <a:latin typeface="Cambria Math" panose="02040503050406030204" pitchFamily="18" charset="0"/>
                      </a:rPr>
                      <m:t>,</m:t>
                    </m:r>
                    <m:r>
                      <a:rPr lang="en-US" sz="1400" b="1" i="1">
                        <a:solidFill>
                          <a:srgbClr val="4396DB"/>
                        </a:solidFill>
                        <a:latin typeface="Cambria Math" panose="02040503050406030204" pitchFamily="18" charset="0"/>
                      </a:rPr>
                      <m:t>𝟐</m:t>
                    </m:r>
                    <m:r>
                      <a:rPr lang="en-US" sz="1400" b="1" i="1">
                        <a:solidFill>
                          <a:srgbClr val="4396DB"/>
                        </a:solidFill>
                        <a:latin typeface="Cambria Math" panose="02040503050406030204" pitchFamily="18" charset="0"/>
                      </a:rPr>
                      <m:t> + </m:t>
                    </m:r>
                    <m:r>
                      <a:rPr lang="en-US" sz="1400" b="1" i="1">
                        <a:solidFill>
                          <a:srgbClr val="4396DB"/>
                        </a:solidFill>
                        <a:latin typeface="Cambria Math" panose="02040503050406030204" pitchFamily="18" charset="0"/>
                      </a:rPr>
                      <m:t>𝟎</m:t>
                    </m:r>
                    <m:r>
                      <a:rPr lang="en-US" sz="1400" b="1" i="1">
                        <a:solidFill>
                          <a:srgbClr val="4396DB"/>
                        </a:solidFill>
                        <a:latin typeface="Cambria Math" panose="02040503050406030204" pitchFamily="18" charset="0"/>
                      </a:rPr>
                      <m:t>,</m:t>
                    </m:r>
                    <m:r>
                      <a:rPr lang="en-US" sz="1400" b="1" i="1">
                        <a:solidFill>
                          <a:srgbClr val="4396DB"/>
                        </a:solidFill>
                        <a:latin typeface="Cambria Math" panose="02040503050406030204" pitchFamily="18" charset="0"/>
                      </a:rPr>
                      <m:t>𝟏</m:t>
                    </m:r>
                    <m:r>
                      <a:rPr lang="en-US" sz="1400" b="1" i="1">
                        <a:solidFill>
                          <a:srgbClr val="4396DB"/>
                        </a:solidFill>
                        <a:latin typeface="Cambria Math" panose="02040503050406030204" pitchFamily="18" charset="0"/>
                      </a:rPr>
                      <m:t> </m:t>
                    </m:r>
                    <m:d>
                      <m:dPr>
                        <m:ctrlPr>
                          <a:rPr lang="en-US" sz="1400" b="1" i="1">
                            <a:solidFill>
                              <a:srgbClr val="4396DB"/>
                            </a:solidFill>
                            <a:latin typeface="Cambria Math" panose="02040503050406030204" pitchFamily="18" charset="0"/>
                          </a:rPr>
                        </m:ctrlPr>
                      </m:dPr>
                      <m:e>
                        <m:sSub>
                          <m:sSubPr>
                            <m:ctrlPr>
                              <a:rPr lang="en-US" sz="1400" b="1" i="1">
                                <a:solidFill>
                                  <a:srgbClr val="4396DB"/>
                                </a:solidFill>
                                <a:latin typeface="Cambria Math" panose="02040503050406030204" pitchFamily="18" charset="0"/>
                              </a:rPr>
                            </m:ctrlPr>
                          </m:sSubPr>
                          <m:e>
                            <m:r>
                              <a:rPr lang="en-US" sz="1400" b="1" i="1">
                                <a:solidFill>
                                  <a:srgbClr val="4396DB"/>
                                </a:solidFill>
                                <a:latin typeface="Cambria Math" panose="02040503050406030204" pitchFamily="18" charset="0"/>
                              </a:rPr>
                              <m:t>𝑫𝒆𝒖𝒅𝒂</m:t>
                            </m:r>
                            <m:r>
                              <a:rPr lang="en-US" sz="1400" b="1" i="1">
                                <a:solidFill>
                                  <a:srgbClr val="4396DB"/>
                                </a:solidFill>
                                <a:latin typeface="Cambria Math" panose="02040503050406030204" pitchFamily="18" charset="0"/>
                              </a:rPr>
                              <m:t> </m:t>
                            </m:r>
                            <m:r>
                              <a:rPr lang="en-US" sz="1400" b="1" i="1">
                                <a:solidFill>
                                  <a:srgbClr val="4396DB"/>
                                </a:solidFill>
                                <a:latin typeface="Cambria Math" panose="02040503050406030204" pitchFamily="18" charset="0"/>
                              </a:rPr>
                              <m:t>𝑵𝒆𝒕𝒂</m:t>
                            </m:r>
                          </m:e>
                          <m:sub>
                            <m:r>
                              <a:rPr lang="en-US" sz="1400" b="1" i="1">
                                <a:solidFill>
                                  <a:srgbClr val="4396DB"/>
                                </a:solidFill>
                                <a:latin typeface="Cambria Math" panose="02040503050406030204" pitchFamily="18" charset="0"/>
                              </a:rPr>
                              <m:t>𝒕</m:t>
                            </m:r>
                            <m:r>
                              <a:rPr lang="en-US" sz="1400" b="1" i="1">
                                <a:solidFill>
                                  <a:srgbClr val="4396DB"/>
                                </a:solidFill>
                                <a:latin typeface="Cambria Math" panose="02040503050406030204" pitchFamily="18" charset="0"/>
                              </a:rPr>
                              <m:t>−</m:t>
                            </m:r>
                            <m:r>
                              <a:rPr lang="en-US" sz="1400" b="1" i="1">
                                <a:solidFill>
                                  <a:srgbClr val="4396DB"/>
                                </a:solidFill>
                                <a:latin typeface="Cambria Math" panose="02040503050406030204" pitchFamily="18" charset="0"/>
                              </a:rPr>
                              <m:t>𝟏</m:t>
                            </m:r>
                          </m:sub>
                        </m:sSub>
                        <m:r>
                          <a:rPr lang="en-US" sz="1400" b="1" i="1">
                            <a:solidFill>
                              <a:srgbClr val="4396DB"/>
                            </a:solidFill>
                            <a:latin typeface="Cambria Math" panose="02040503050406030204" pitchFamily="18" charset="0"/>
                          </a:rPr>
                          <m:t>−</m:t>
                        </m:r>
                        <m:r>
                          <a:rPr lang="en-US" sz="1400" b="1" i="1">
                            <a:solidFill>
                              <a:srgbClr val="4396DB"/>
                            </a:solidFill>
                            <a:latin typeface="Cambria Math" panose="02040503050406030204" pitchFamily="18" charset="0"/>
                          </a:rPr>
                          <m:t>𝟓𝟓</m:t>
                        </m:r>
                      </m:e>
                    </m:d>
                  </m:oMath>
                </m:oMathPara>
              </a14:m>
              <a:endParaRPr lang="en-US" sz="1400" b="1"/>
            </a:p>
            <a:p>
              <a:pPr/>
              <a14:m>
                <m:oMathPara xmlns:m="http://schemas.openxmlformats.org/officeDocument/2006/math">
                  <m:oMathParaPr>
                    <m:jc m:val="centerGroup"/>
                  </m:oMathParaPr>
                  <m:oMath xmlns:m="http://schemas.openxmlformats.org/officeDocument/2006/math">
                    <m:r>
                      <a:rPr lang="en-US" sz="1400" b="0" i="1">
                        <a:latin typeface="Cambria Math" panose="02040503050406030204" pitchFamily="18" charset="0"/>
                      </a:rPr>
                      <m:t>𝑆𝑖</m:t>
                    </m:r>
                    <m:r>
                      <a:rPr lang="en-US" sz="1400" b="0" i="1">
                        <a:latin typeface="Cambria Math" panose="02040503050406030204" pitchFamily="18" charset="0"/>
                      </a:rPr>
                      <m:t> </m:t>
                    </m:r>
                    <m:r>
                      <a:rPr lang="en-US" sz="1400" b="0" i="1">
                        <a:latin typeface="Cambria Math" panose="02040503050406030204" pitchFamily="18" charset="0"/>
                      </a:rPr>
                      <m:t>𝑙𝑎</m:t>
                    </m:r>
                    <m:r>
                      <a:rPr lang="en-US" sz="1400" b="0" i="1">
                        <a:latin typeface="Cambria Math" panose="02040503050406030204" pitchFamily="18" charset="0"/>
                      </a:rPr>
                      <m:t> </m:t>
                    </m:r>
                    <m:r>
                      <a:rPr lang="en-US" sz="1400" b="0" i="1">
                        <a:latin typeface="Cambria Math" panose="02040503050406030204" pitchFamily="18" charset="0"/>
                      </a:rPr>
                      <m:t>𝑑𝑒𝑢𝑑𝑎</m:t>
                    </m:r>
                    <m:r>
                      <a:rPr lang="en-US" sz="1400" b="0" i="1">
                        <a:latin typeface="Cambria Math" panose="02040503050406030204" pitchFamily="18" charset="0"/>
                      </a:rPr>
                      <m:t> </m:t>
                    </m:r>
                    <m:r>
                      <a:rPr lang="en-US" sz="1400" b="0" i="1">
                        <a:latin typeface="Cambria Math" panose="02040503050406030204" pitchFamily="18" charset="0"/>
                      </a:rPr>
                      <m:t>𝑒𝑛</m:t>
                    </m:r>
                    <m:r>
                      <a:rPr lang="en-US" sz="1400" b="0" i="1">
                        <a:latin typeface="Cambria Math" panose="02040503050406030204" pitchFamily="18" charset="0"/>
                      </a:rPr>
                      <m:t> </m:t>
                    </m:r>
                    <m:r>
                      <a:rPr lang="en-US" sz="1400" b="0" i="1">
                        <a:latin typeface="Cambria Math" panose="02040503050406030204" pitchFamily="18" charset="0"/>
                      </a:rPr>
                      <m:t>𝑡</m:t>
                    </m:r>
                    <m:r>
                      <a:rPr lang="en-US" sz="1400" b="0" i="1">
                        <a:latin typeface="Cambria Math" panose="02040503050406030204" pitchFamily="18" charset="0"/>
                      </a:rPr>
                      <m:t>−1 </m:t>
                    </m:r>
                    <m:r>
                      <a:rPr lang="en-US" sz="1400" b="0" i="1">
                        <a:latin typeface="Cambria Math" panose="02040503050406030204" pitchFamily="18" charset="0"/>
                      </a:rPr>
                      <m:t>𝑒𝑠</m:t>
                    </m:r>
                    <m:r>
                      <a:rPr lang="en-US" sz="1400" b="0" i="1">
                        <a:latin typeface="Cambria Math" panose="02040503050406030204" pitchFamily="18" charset="0"/>
                      </a:rPr>
                      <m:t> </m:t>
                    </m:r>
                    <m:r>
                      <a:rPr lang="en-US" sz="1400" b="0" i="1">
                        <a:latin typeface="Cambria Math" panose="02040503050406030204" pitchFamily="18" charset="0"/>
                      </a:rPr>
                      <m:t>𝑚𝑎𝑦𝑜𝑟</m:t>
                    </m:r>
                    <m:r>
                      <a:rPr lang="en-US" sz="1400" b="0" i="1">
                        <a:latin typeface="Cambria Math" panose="02040503050406030204" pitchFamily="18" charset="0"/>
                      </a:rPr>
                      <m:t> </m:t>
                    </m:r>
                    <m:r>
                      <a:rPr lang="en-US" sz="1400" b="0" i="1">
                        <a:latin typeface="Cambria Math" panose="02040503050406030204" pitchFamily="18" charset="0"/>
                      </a:rPr>
                      <m:t>𝑎</m:t>
                    </m:r>
                    <m:r>
                      <a:rPr lang="en-US" sz="1400" b="0" i="1">
                        <a:latin typeface="Cambria Math" panose="02040503050406030204" pitchFamily="18" charset="0"/>
                      </a:rPr>
                      <m:t> 70% </m:t>
                    </m:r>
                    <m:r>
                      <a:rPr lang="en-US" sz="1400" b="0" i="1">
                        <a:latin typeface="Cambria Math" panose="02040503050406030204" pitchFamily="18" charset="0"/>
                      </a:rPr>
                      <m:t>𝑒𝑛𝑡𝑜𝑛𝑐𝑒𝑠</m:t>
                    </m:r>
                    <m:r>
                      <a:rPr lang="en-US" sz="1400" b="0" i="1">
                        <a:latin typeface="Cambria Math" panose="02040503050406030204" pitchFamily="18" charset="0"/>
                      </a:rPr>
                      <m:t>: </m:t>
                    </m:r>
                    <m:sSub>
                      <m:sSubPr>
                        <m:ctrlPr>
                          <a:rPr lang="en-US" sz="1400" b="0" i="1">
                            <a:solidFill>
                              <a:srgbClr val="4396DB"/>
                            </a:solidFill>
                            <a:latin typeface="Cambria Math" panose="02040503050406030204" pitchFamily="18" charset="0"/>
                          </a:rPr>
                        </m:ctrlPr>
                      </m:sSubPr>
                      <m:e>
                        <m:r>
                          <a:rPr lang="en-US" sz="1400" b="0" i="1">
                            <a:solidFill>
                              <a:srgbClr val="4396DB"/>
                            </a:solidFill>
                            <a:latin typeface="Cambria Math" panose="02040503050406030204" pitchFamily="18" charset="0"/>
                          </a:rPr>
                          <m:t>𝐵𝑃</m:t>
                        </m:r>
                        <m:r>
                          <a:rPr lang="es-ES" sz="1400" b="0" i="1">
                            <a:solidFill>
                              <a:srgbClr val="4396DB"/>
                            </a:solidFill>
                            <a:latin typeface="Cambria Math" panose="02040503050406030204" pitchFamily="18" charset="0"/>
                          </a:rPr>
                          <m:t>𝑁</m:t>
                        </m:r>
                        <m:r>
                          <a:rPr lang="en-US" sz="1400" b="0" i="1">
                            <a:solidFill>
                              <a:srgbClr val="4396DB"/>
                            </a:solidFill>
                            <a:latin typeface="Cambria Math" panose="02040503050406030204" pitchFamily="18" charset="0"/>
                          </a:rPr>
                          <m:t>𝐸</m:t>
                        </m:r>
                      </m:e>
                      <m:sub>
                        <m:r>
                          <a:rPr lang="en-US" sz="1400" b="0" i="1">
                            <a:solidFill>
                              <a:srgbClr val="4396DB"/>
                            </a:solidFill>
                            <a:latin typeface="Cambria Math" panose="02040503050406030204" pitchFamily="18" charset="0"/>
                          </a:rPr>
                          <m:t>𝑡</m:t>
                        </m:r>
                      </m:sub>
                    </m:sSub>
                    <m:r>
                      <a:rPr lang="en-US" sz="1400" b="0" i="1">
                        <a:solidFill>
                          <a:srgbClr val="4396DB"/>
                        </a:solidFill>
                        <a:latin typeface="Cambria Math" panose="02040503050406030204" pitchFamily="18" charset="0"/>
                      </a:rPr>
                      <m:t>=1,8</m:t>
                    </m:r>
                  </m:oMath>
                </m:oMathPara>
              </a14:m>
              <a:endParaRPr lang="en-US" sz="1400">
                <a:solidFill>
                  <a:srgbClr val="4396DB"/>
                </a:solidFill>
              </a:endParaRPr>
            </a:p>
          </xdr:txBody>
        </xdr:sp>
      </mc:Choice>
      <mc:Fallback xmlns="">
        <xdr:sp macro="" textlink="">
          <xdr:nvSpPr>
            <xdr:cNvPr id="3" name="TextBox 2">
              <a:extLst>
                <a:ext uri="{FF2B5EF4-FFF2-40B4-BE49-F238E27FC236}">
                  <a16:creationId xmlns:a16="http://schemas.microsoft.com/office/drawing/2014/main" id="{3EF14A9A-F516-6544-B987-584227BAA0A9}"/>
                </a:ext>
              </a:extLst>
            </xdr:cNvPr>
            <xdr:cNvSpPr txBox="1"/>
          </xdr:nvSpPr>
          <xdr:spPr>
            <a:xfrm>
              <a:off x="268111" y="3138311"/>
              <a:ext cx="9256889" cy="438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0" i="0">
                  <a:latin typeface="Cambria Math" panose="02040503050406030204" pitchFamily="18" charset="0"/>
                </a:rPr>
                <a:t>𝑆𝑖 𝑙𝑎 𝑑𝑒𝑢𝑑𝑎 𝑒𝑛 𝑡−1 𝑒𝑠 𝑚𝑒𝑛𝑜𝑟 𝑜 𝑖𝑔𝑢𝑎𝑙 𝑎 70% 𝑒𝑛𝑡𝑜𝑛𝑐𝑒𝑠: </a:t>
              </a:r>
              <a:r>
                <a:rPr lang="en-US" sz="1400" b="1" i="0">
                  <a:solidFill>
                    <a:srgbClr val="4396DB"/>
                  </a:solidFill>
                  <a:latin typeface="Cambria Math" panose="02040503050406030204" pitchFamily="18" charset="0"/>
                </a:rPr>
                <a:t>〖𝑩𝑷</a:t>
              </a:r>
              <a:r>
                <a:rPr lang="es-ES" sz="1400" b="1" i="0">
                  <a:solidFill>
                    <a:srgbClr val="4396DB"/>
                  </a:solidFill>
                  <a:latin typeface="Cambria Math" panose="02040503050406030204" pitchFamily="18" charset="0"/>
                </a:rPr>
                <a:t>𝑵</a:t>
              </a:r>
              <a:r>
                <a:rPr lang="en-US" sz="1400" b="1" i="0">
                  <a:solidFill>
                    <a:srgbClr val="4396DB"/>
                  </a:solidFill>
                  <a:latin typeface="Cambria Math" panose="02040503050406030204" pitchFamily="18" charset="0"/>
                </a:rPr>
                <a:t>𝑬〗_𝒕=𝟎,𝟐 + 𝟎,𝟏 (〖𝑫𝒆𝒖𝒅𝒂 𝑵𝒆𝒕𝒂〗_(𝒕−𝟏)−𝟓𝟓)</a:t>
              </a:r>
              <a:endParaRPr lang="en-US" sz="1400" b="1"/>
            </a:p>
            <a:p>
              <a:pPr/>
              <a:r>
                <a:rPr lang="en-US" sz="1400" b="0" i="0">
                  <a:latin typeface="Cambria Math" panose="02040503050406030204" pitchFamily="18" charset="0"/>
                </a:rPr>
                <a:t>𝑆𝑖 𝑙𝑎 𝑑𝑒𝑢𝑑𝑎 𝑒𝑛 𝑡−1 𝑒𝑠 𝑚𝑎𝑦𝑜𝑟 𝑎 70% 𝑒𝑛𝑡𝑜𝑛𝑐𝑒𝑠: </a:t>
              </a:r>
              <a:r>
                <a:rPr lang="en-US" sz="1400" b="0" i="0">
                  <a:solidFill>
                    <a:srgbClr val="4396DB"/>
                  </a:solidFill>
                  <a:latin typeface="Cambria Math" panose="02040503050406030204" pitchFamily="18" charset="0"/>
                </a:rPr>
                <a:t>〖𝐵𝑃</a:t>
              </a:r>
              <a:r>
                <a:rPr lang="es-ES" sz="1400" b="0" i="0">
                  <a:solidFill>
                    <a:srgbClr val="4396DB"/>
                  </a:solidFill>
                  <a:latin typeface="Cambria Math" panose="02040503050406030204" pitchFamily="18" charset="0"/>
                </a:rPr>
                <a:t>𝑁</a:t>
              </a:r>
              <a:r>
                <a:rPr lang="en-US" sz="1400" b="0" i="0">
                  <a:solidFill>
                    <a:srgbClr val="4396DB"/>
                  </a:solidFill>
                  <a:latin typeface="Cambria Math" panose="02040503050406030204" pitchFamily="18" charset="0"/>
                </a:rPr>
                <a:t>𝐸〗_𝑡=1,8</a:t>
              </a:r>
              <a:endParaRPr lang="en-US" sz="1400">
                <a:solidFill>
                  <a:srgbClr val="4396DB"/>
                </a:solidFill>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c.gov.co/webcenter/portal/IRCEs/pages_Deuda/deudainternagnc/emisionvigMensuales/p2023" TargetMode="External"/><Relationship Id="rId1" Type="http://schemas.openxmlformats.org/officeDocument/2006/relationships/hyperlink" Target="https://www.irc.gov.co/webcenter/portal/IRCEs/pages_Deuda/perfildeudapblicagnc/perfildeudapblicagnchistorico"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573F-6D45-6143-8857-A043BDDC975B}">
  <dimension ref="A7:A27"/>
  <sheetViews>
    <sheetView tabSelected="1" zoomScale="90" zoomScaleNormal="90" workbookViewId="0">
      <selection activeCell="A17" sqref="A17"/>
    </sheetView>
  </sheetViews>
  <sheetFormatPr baseColWidth="10" defaultColWidth="11" defaultRowHeight="16"/>
  <cols>
    <col min="1" max="1" width="220.33203125" style="533" customWidth="1"/>
    <col min="2" max="16384" width="11" style="534"/>
  </cols>
  <sheetData>
    <row r="7" spans="1:1" ht="9.75" customHeight="1"/>
    <row r="8" spans="1:1" ht="25" customHeight="1">
      <c r="A8" s="535" t="s">
        <v>332</v>
      </c>
    </row>
    <row r="9" spans="1:1">
      <c r="A9" s="536" t="s">
        <v>417</v>
      </c>
    </row>
    <row r="10" spans="1:1" ht="10" customHeight="1"/>
    <row r="11" spans="1:1" ht="18">
      <c r="A11" s="537" t="s">
        <v>337</v>
      </c>
    </row>
    <row r="12" spans="1:1" ht="51">
      <c r="A12" s="539" t="s">
        <v>338</v>
      </c>
    </row>
    <row r="13" spans="1:1" ht="10" customHeight="1"/>
    <row r="14" spans="1:1" ht="18">
      <c r="A14" s="537" t="s">
        <v>333</v>
      </c>
    </row>
    <row r="15" spans="1:1" ht="68" customHeight="1">
      <c r="A15" s="539" t="s">
        <v>334</v>
      </c>
    </row>
    <row r="16" spans="1:1" ht="10" customHeight="1"/>
    <row r="17" spans="1:1" ht="18">
      <c r="A17" s="537" t="s">
        <v>335</v>
      </c>
    </row>
    <row r="18" spans="1:1" ht="86" customHeight="1">
      <c r="A18" s="539" t="s">
        <v>365</v>
      </c>
    </row>
    <row r="19" spans="1:1" ht="10" customHeight="1"/>
    <row r="20" spans="1:1" ht="18">
      <c r="A20" s="537" t="s">
        <v>336</v>
      </c>
    </row>
    <row r="21" spans="1:1" ht="69" customHeight="1">
      <c r="A21" s="540" t="s">
        <v>366</v>
      </c>
    </row>
    <row r="22" spans="1:1" ht="10" customHeight="1">
      <c r="A22" s="538"/>
    </row>
    <row r="23" spans="1:1" ht="18">
      <c r="A23" s="537" t="s">
        <v>339</v>
      </c>
    </row>
    <row r="24" spans="1:1" ht="37.5" customHeight="1">
      <c r="A24" s="539" t="s">
        <v>340</v>
      </c>
    </row>
    <row r="26" spans="1:1" ht="18">
      <c r="A26" s="537" t="s">
        <v>350</v>
      </c>
    </row>
    <row r="27" spans="1:1" ht="17">
      <c r="A27" s="539" t="s">
        <v>351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4F9D-9570-0743-A0D6-A86F4EEDA686}">
  <sheetPr>
    <tabColor rgb="FF003E6B"/>
  </sheetPr>
  <dimension ref="A1:R27"/>
  <sheetViews>
    <sheetView zoomScale="90" zoomScaleNormal="90" workbookViewId="0">
      <selection activeCell="N1" sqref="N1"/>
    </sheetView>
  </sheetViews>
  <sheetFormatPr baseColWidth="10" defaultRowHeight="16"/>
  <cols>
    <col min="1" max="1" width="2.5" style="518" customWidth="1"/>
    <col min="2" max="6" width="10.83203125" style="518"/>
    <col min="7" max="7" width="6.1640625" style="518" customWidth="1"/>
    <col min="8" max="9" width="12.6640625" style="518" customWidth="1"/>
    <col min="10" max="10" width="13.6640625" style="518" customWidth="1"/>
    <col min="11" max="11" width="10.83203125" style="518"/>
    <col min="12" max="12" width="18.1640625" style="518" customWidth="1"/>
    <col min="13" max="16384" width="10.83203125" style="518"/>
  </cols>
  <sheetData>
    <row r="1" spans="1:18" ht="51">
      <c r="A1" s="746" t="s">
        <v>381</v>
      </c>
      <c r="H1" s="747" t="s">
        <v>375</v>
      </c>
      <c r="I1" s="762" t="s">
        <v>414</v>
      </c>
      <c r="J1" s="762" t="s">
        <v>376</v>
      </c>
      <c r="K1" s="762" t="s">
        <v>415</v>
      </c>
      <c r="L1" s="762" t="s">
        <v>361</v>
      </c>
      <c r="M1" s="762" t="s">
        <v>382</v>
      </c>
    </row>
    <row r="3" spans="1:18" s="293" customFormat="1">
      <c r="A3" s="769" t="s">
        <v>383</v>
      </c>
      <c r="B3" s="769"/>
      <c r="C3" s="769"/>
      <c r="D3" s="769"/>
      <c r="E3" s="769"/>
      <c r="F3" s="769"/>
      <c r="G3" s="769"/>
      <c r="H3" s="769"/>
      <c r="I3" s="769"/>
      <c r="J3" s="769"/>
      <c r="K3" s="769"/>
      <c r="L3" s="769"/>
      <c r="M3" s="769"/>
      <c r="N3" s="769"/>
      <c r="O3" s="769"/>
      <c r="P3" s="769"/>
      <c r="Q3" s="769"/>
      <c r="R3" s="769"/>
    </row>
    <row r="4" spans="1:18" s="293" customFormat="1">
      <c r="A4" s="748"/>
      <c r="B4" s="748"/>
      <c r="C4" s="748"/>
      <c r="D4" s="748"/>
      <c r="E4" s="748"/>
      <c r="F4" s="748"/>
      <c r="G4" s="748"/>
      <c r="H4" s="748"/>
      <c r="I4" s="748"/>
      <c r="J4" s="748"/>
      <c r="K4" s="748"/>
      <c r="L4" s="748"/>
      <c r="M4" s="748"/>
      <c r="N4" s="748"/>
      <c r="O4" s="748"/>
      <c r="P4" s="748"/>
      <c r="Q4" s="748"/>
      <c r="R4" s="748"/>
    </row>
    <row r="5" spans="1:18" s="293" customFormat="1">
      <c r="A5" s="769" t="s">
        <v>384</v>
      </c>
      <c r="B5" s="769"/>
      <c r="C5" s="769"/>
      <c r="D5" s="769"/>
      <c r="E5" s="769"/>
      <c r="F5" s="769"/>
      <c r="G5" s="769"/>
      <c r="H5" s="769"/>
      <c r="I5" s="769"/>
      <c r="J5" s="769"/>
      <c r="K5" s="769"/>
      <c r="L5" s="769"/>
      <c r="M5" s="769"/>
      <c r="N5" s="769"/>
      <c r="O5" s="769"/>
      <c r="P5" s="769"/>
      <c r="Q5" s="769"/>
      <c r="R5" s="769"/>
    </row>
    <row r="6" spans="1:18">
      <c r="A6" s="749"/>
      <c r="B6" s="749"/>
      <c r="C6" s="749"/>
      <c r="D6" s="749"/>
      <c r="E6" s="749"/>
      <c r="F6" s="749"/>
      <c r="G6" s="749"/>
      <c r="H6" s="749"/>
      <c r="I6" s="749"/>
      <c r="J6" s="749"/>
      <c r="K6" s="749"/>
      <c r="L6" s="749"/>
      <c r="M6" s="749"/>
      <c r="N6" s="749"/>
      <c r="O6" s="749"/>
      <c r="P6" s="749"/>
      <c r="Q6" s="749"/>
      <c r="R6" s="749"/>
    </row>
    <row r="7" spans="1:18">
      <c r="A7" s="774" t="s">
        <v>385</v>
      </c>
      <c r="B7" s="774"/>
      <c r="C7" s="774"/>
      <c r="D7" s="774"/>
      <c r="E7" s="774"/>
      <c r="F7" s="774"/>
      <c r="G7" s="774"/>
      <c r="H7" s="774"/>
      <c r="I7" s="774"/>
      <c r="J7" s="774"/>
      <c r="K7" s="774"/>
      <c r="L7" s="774"/>
      <c r="M7" s="774"/>
      <c r="N7" s="774"/>
      <c r="O7" s="774"/>
      <c r="P7" s="774"/>
      <c r="Q7" s="774"/>
      <c r="R7" s="774"/>
    </row>
    <row r="8" spans="1:18">
      <c r="A8" s="750"/>
      <c r="B8" s="750"/>
      <c r="C8" s="750"/>
      <c r="D8" s="750"/>
      <c r="E8" s="750"/>
      <c r="F8" s="750"/>
      <c r="G8" s="750"/>
      <c r="H8" s="750"/>
      <c r="I8" s="750"/>
      <c r="J8" s="750"/>
      <c r="K8" s="750"/>
      <c r="L8" s="750"/>
      <c r="M8" s="750"/>
      <c r="N8" s="750"/>
      <c r="O8" s="750"/>
      <c r="P8" s="750"/>
      <c r="Q8" s="750"/>
      <c r="R8" s="750"/>
    </row>
    <row r="9" spans="1:18">
      <c r="A9" s="749"/>
      <c r="B9" s="749"/>
      <c r="C9" s="749"/>
      <c r="D9" s="749"/>
      <c r="E9" s="749"/>
      <c r="F9" s="749"/>
      <c r="G9" s="749"/>
      <c r="H9" s="751" t="s">
        <v>386</v>
      </c>
      <c r="I9" s="749"/>
      <c r="J9" s="749"/>
      <c r="K9" s="749"/>
      <c r="L9" s="749"/>
      <c r="M9" s="749"/>
      <c r="N9" s="749"/>
      <c r="O9" s="749"/>
      <c r="P9" s="749"/>
      <c r="Q9" s="749"/>
      <c r="R9" s="749"/>
    </row>
    <row r="10" spans="1:18" ht="21">
      <c r="A10" s="749"/>
      <c r="B10" s="752" t="s">
        <v>387</v>
      </c>
      <c r="C10" s="753"/>
      <c r="D10" s="753"/>
      <c r="E10" s="753"/>
      <c r="F10" s="753"/>
      <c r="G10" s="754" t="s">
        <v>388</v>
      </c>
      <c r="H10" s="769" t="s">
        <v>389</v>
      </c>
      <c r="I10" s="769"/>
      <c r="J10" s="769"/>
      <c r="K10" s="769"/>
      <c r="L10" s="769"/>
      <c r="M10" s="769"/>
      <c r="N10" s="769"/>
      <c r="O10" s="769"/>
      <c r="P10" s="769"/>
      <c r="Q10" s="769"/>
      <c r="R10" s="769"/>
    </row>
    <row r="11" spans="1:18" ht="33" customHeight="1" thickBot="1">
      <c r="A11" s="749"/>
      <c r="B11" s="755" t="s">
        <v>390</v>
      </c>
      <c r="C11" s="756"/>
      <c r="D11" s="756"/>
      <c r="E11" s="756"/>
      <c r="F11" s="756"/>
      <c r="G11" s="754" t="s">
        <v>388</v>
      </c>
      <c r="H11" s="769" t="s">
        <v>391</v>
      </c>
      <c r="I11" s="769"/>
      <c r="J11" s="769"/>
      <c r="K11" s="769"/>
      <c r="L11" s="769"/>
      <c r="M11" s="769"/>
      <c r="N11" s="769"/>
      <c r="O11" s="769"/>
      <c r="P11" s="769"/>
      <c r="Q11" s="769"/>
      <c r="R11" s="769"/>
    </row>
    <row r="12" spans="1:18" ht="19">
      <c r="A12" s="749"/>
      <c r="B12" s="757" t="s">
        <v>392</v>
      </c>
      <c r="C12" s="753"/>
      <c r="D12" s="753"/>
      <c r="E12" s="753"/>
      <c r="F12" s="753"/>
      <c r="G12" s="749"/>
      <c r="H12" s="749"/>
      <c r="I12" s="749"/>
      <c r="J12" s="749"/>
      <c r="K12" s="749"/>
      <c r="L12" s="749"/>
      <c r="M12" s="749"/>
      <c r="N12" s="749"/>
      <c r="O12" s="749"/>
      <c r="P12" s="749"/>
      <c r="Q12" s="749"/>
      <c r="R12" s="749"/>
    </row>
    <row r="13" spans="1:18" ht="41" customHeight="1">
      <c r="A13" s="749"/>
      <c r="B13" s="758" t="s">
        <v>393</v>
      </c>
      <c r="C13" s="753"/>
      <c r="D13" s="753"/>
      <c r="E13" s="753"/>
      <c r="F13" s="753"/>
      <c r="G13" s="754" t="s">
        <v>388</v>
      </c>
      <c r="H13" s="769" t="s">
        <v>394</v>
      </c>
      <c r="I13" s="769"/>
      <c r="J13" s="769"/>
      <c r="K13" s="769"/>
      <c r="L13" s="769"/>
      <c r="M13" s="769"/>
      <c r="N13" s="769"/>
      <c r="O13" s="769"/>
      <c r="P13" s="769"/>
      <c r="Q13" s="769"/>
      <c r="R13" s="769"/>
    </row>
    <row r="14" spans="1:18" ht="42" customHeight="1" thickBot="1">
      <c r="A14" s="749"/>
      <c r="B14" s="755" t="s">
        <v>395</v>
      </c>
      <c r="C14" s="756"/>
      <c r="D14" s="756"/>
      <c r="E14" s="756"/>
      <c r="F14" s="756"/>
      <c r="G14" s="754" t="s">
        <v>388</v>
      </c>
      <c r="H14" s="769" t="s">
        <v>396</v>
      </c>
      <c r="I14" s="769"/>
      <c r="J14" s="769"/>
      <c r="K14" s="769"/>
      <c r="L14" s="769"/>
      <c r="M14" s="769"/>
      <c r="N14" s="769"/>
      <c r="O14" s="769"/>
      <c r="P14" s="769"/>
      <c r="Q14" s="769"/>
      <c r="R14" s="769"/>
    </row>
    <row r="15" spans="1:18" ht="19">
      <c r="A15" s="749"/>
      <c r="B15" s="757" t="s">
        <v>397</v>
      </c>
      <c r="C15" s="753"/>
      <c r="D15" s="753"/>
      <c r="E15" s="753"/>
      <c r="F15" s="753"/>
      <c r="G15" s="749"/>
      <c r="H15" s="749"/>
      <c r="I15" s="749"/>
      <c r="J15" s="749"/>
      <c r="K15" s="749"/>
      <c r="L15" s="749"/>
      <c r="M15" s="749"/>
      <c r="N15" s="749"/>
      <c r="O15" s="749"/>
      <c r="P15" s="749"/>
      <c r="Q15" s="749"/>
      <c r="R15" s="749"/>
    </row>
    <row r="16" spans="1:18" ht="21">
      <c r="A16" s="749"/>
      <c r="B16" s="758" t="s">
        <v>398</v>
      </c>
      <c r="C16" s="753"/>
      <c r="D16" s="753"/>
      <c r="E16" s="753"/>
      <c r="F16" s="753"/>
      <c r="G16" s="754" t="s">
        <v>388</v>
      </c>
      <c r="H16" s="749" t="s">
        <v>399</v>
      </c>
      <c r="I16" s="749"/>
      <c r="J16" s="749"/>
      <c r="K16" s="749"/>
      <c r="L16" s="749"/>
      <c r="M16" s="749"/>
      <c r="N16" s="749"/>
      <c r="O16" s="749"/>
      <c r="P16" s="749"/>
      <c r="Q16" s="749"/>
      <c r="R16" s="749"/>
    </row>
    <row r="17" spans="1:18" ht="22" thickBot="1">
      <c r="A17" s="749"/>
      <c r="B17" s="755" t="s">
        <v>400</v>
      </c>
      <c r="C17" s="756"/>
      <c r="D17" s="756"/>
      <c r="E17" s="756"/>
      <c r="F17" s="756"/>
      <c r="G17" s="754" t="s">
        <v>388</v>
      </c>
      <c r="H17" s="749" t="s">
        <v>401</v>
      </c>
      <c r="I17" s="749"/>
      <c r="J17" s="749"/>
      <c r="K17" s="749"/>
      <c r="L17" s="749"/>
      <c r="M17" s="749"/>
      <c r="N17" s="749"/>
      <c r="O17" s="749"/>
      <c r="P17" s="749"/>
      <c r="Q17" s="749"/>
      <c r="R17" s="749"/>
    </row>
    <row r="18" spans="1:18" ht="19">
      <c r="A18" s="749"/>
      <c r="B18" s="757" t="s">
        <v>402</v>
      </c>
      <c r="C18" s="753"/>
      <c r="D18" s="753"/>
      <c r="E18" s="753"/>
      <c r="F18" s="753"/>
      <c r="G18" s="749"/>
      <c r="H18" s="749"/>
      <c r="I18" s="749"/>
      <c r="J18" s="749"/>
      <c r="K18" s="749"/>
      <c r="L18" s="749"/>
      <c r="M18" s="749"/>
      <c r="N18" s="749"/>
      <c r="O18" s="749"/>
      <c r="P18" s="749"/>
      <c r="Q18" s="749"/>
      <c r="R18" s="749"/>
    </row>
    <row r="21" spans="1:18" ht="21">
      <c r="A21" s="759" t="s">
        <v>403</v>
      </c>
    </row>
    <row r="23" spans="1:18" ht="206" customHeight="1">
      <c r="A23" s="760" t="s">
        <v>404</v>
      </c>
      <c r="B23" s="770" t="s">
        <v>405</v>
      </c>
      <c r="C23" s="770"/>
      <c r="D23" s="770"/>
      <c r="E23" s="770"/>
      <c r="F23" s="770"/>
      <c r="G23" s="770"/>
      <c r="H23" s="770"/>
      <c r="I23" s="770"/>
      <c r="J23" s="770"/>
      <c r="K23" s="770"/>
      <c r="L23" s="770"/>
      <c r="M23" s="770"/>
      <c r="N23" s="770"/>
      <c r="O23" s="770"/>
      <c r="P23" s="770"/>
      <c r="Q23" s="770"/>
      <c r="R23" s="770"/>
    </row>
    <row r="24" spans="1:18" ht="35" customHeight="1">
      <c r="A24" s="761" t="s">
        <v>406</v>
      </c>
      <c r="B24" s="771" t="s">
        <v>407</v>
      </c>
      <c r="C24" s="771"/>
      <c r="D24" s="771"/>
      <c r="E24" s="771"/>
      <c r="F24" s="771"/>
      <c r="G24" s="771"/>
      <c r="H24" s="771"/>
      <c r="I24" s="771"/>
      <c r="J24" s="771"/>
      <c r="K24" s="771"/>
      <c r="L24" s="771"/>
      <c r="M24" s="771"/>
      <c r="N24" s="771"/>
      <c r="O24" s="771"/>
      <c r="P24" s="771"/>
      <c r="Q24" s="771"/>
      <c r="R24" s="771"/>
    </row>
    <row r="25" spans="1:18" ht="52" customHeight="1">
      <c r="A25" s="760" t="s">
        <v>408</v>
      </c>
      <c r="B25" s="770" t="s">
        <v>409</v>
      </c>
      <c r="C25" s="770"/>
      <c r="D25" s="770"/>
      <c r="E25" s="770"/>
      <c r="F25" s="770"/>
      <c r="G25" s="770"/>
      <c r="H25" s="770"/>
      <c r="I25" s="770"/>
      <c r="J25" s="770"/>
      <c r="K25" s="770"/>
      <c r="L25" s="770"/>
      <c r="M25" s="770"/>
      <c r="N25" s="770"/>
      <c r="O25" s="770"/>
      <c r="P25" s="770"/>
      <c r="Q25" s="770"/>
      <c r="R25" s="770"/>
    </row>
    <row r="26" spans="1:18" ht="64" customHeight="1">
      <c r="A26" s="761" t="s">
        <v>410</v>
      </c>
      <c r="B26" s="772" t="s">
        <v>411</v>
      </c>
      <c r="C26" s="772"/>
      <c r="D26" s="772"/>
      <c r="E26" s="772"/>
      <c r="F26" s="772"/>
      <c r="G26" s="772"/>
      <c r="H26" s="772"/>
      <c r="I26" s="772"/>
      <c r="J26" s="772"/>
      <c r="K26" s="772"/>
      <c r="L26" s="772"/>
      <c r="M26" s="772"/>
      <c r="N26" s="772"/>
      <c r="O26" s="772"/>
      <c r="P26" s="772"/>
      <c r="Q26" s="772"/>
      <c r="R26" s="772"/>
    </row>
    <row r="27" spans="1:18" ht="23" customHeight="1">
      <c r="A27" s="760" t="s">
        <v>412</v>
      </c>
      <c r="B27" s="773" t="s">
        <v>413</v>
      </c>
      <c r="C27" s="773"/>
      <c r="D27" s="773"/>
      <c r="E27" s="773"/>
      <c r="F27" s="773"/>
      <c r="G27" s="773"/>
      <c r="H27" s="773"/>
      <c r="I27" s="773"/>
      <c r="J27" s="773"/>
      <c r="K27" s="773"/>
      <c r="L27" s="773"/>
      <c r="M27" s="773"/>
      <c r="N27" s="773"/>
      <c r="O27" s="773"/>
      <c r="P27" s="773"/>
      <c r="Q27" s="773"/>
      <c r="R27" s="773"/>
    </row>
  </sheetData>
  <mergeCells count="12">
    <mergeCell ref="B27:R27"/>
    <mergeCell ref="A3:R3"/>
    <mergeCell ref="A5:R5"/>
    <mergeCell ref="A7:R7"/>
    <mergeCell ref="H10:R10"/>
    <mergeCell ref="H11:R11"/>
    <mergeCell ref="H13:R13"/>
    <mergeCell ref="H14:R14"/>
    <mergeCell ref="B23:R23"/>
    <mergeCell ref="B24:R24"/>
    <mergeCell ref="B25:R25"/>
    <mergeCell ref="B26:R26"/>
  </mergeCells>
  <hyperlinks>
    <hyperlink ref="I1" location="'Insumos externos'!A1" display="Insumos externos" xr:uid="{587ABB32-6F24-E64B-9C93-8EEB6B20C4C0}"/>
    <hyperlink ref="J1" location="'Deuda a emitir'!A1" display="Deuda a emitir" xr:uid="{6CED88AF-306D-F547-B4AE-59BC353DA29A}"/>
    <hyperlink ref="K1" location="'Deuda GNC'!A1" display="Deuda GNC" xr:uid="{A598BF3E-8207-E94A-8C74-B0F3E55E2696}"/>
    <hyperlink ref="L1" location="'Gráficos deuda'!A1" display="Gráficos de deuda" xr:uid="{164259F7-B89B-C648-83E9-CA92335F6256}"/>
    <hyperlink ref="M1" location="'Cumplimiento de la regla'!A1" display="Cumplimiento de la regla" xr:uid="{B82E3EAA-BD09-1440-AC65-C32309F3160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CBD8E-E637-F24C-9429-04980C73E662}">
  <sheetPr>
    <tabColor rgb="FF0070C0"/>
  </sheetPr>
  <dimension ref="A1:AP104"/>
  <sheetViews>
    <sheetView zoomScale="90" zoomScaleNormal="90" workbookViewId="0">
      <selection activeCell="D1" sqref="D1"/>
    </sheetView>
  </sheetViews>
  <sheetFormatPr baseColWidth="10" defaultColWidth="10.83203125" defaultRowHeight="15"/>
  <cols>
    <col min="1" max="1" width="16.5" style="2" customWidth="1"/>
    <col min="2" max="2" width="19" style="2" customWidth="1"/>
    <col min="3" max="3" width="12.33203125" style="2" bestFit="1" customWidth="1"/>
    <col min="4" max="4" width="11.83203125" style="2" customWidth="1"/>
    <col min="5" max="5" width="15.6640625" style="2" customWidth="1"/>
    <col min="6" max="7" width="11.83203125" style="2" customWidth="1"/>
    <col min="8" max="8" width="14.5" style="2" customWidth="1"/>
    <col min="9" max="10" width="11.83203125" style="2" customWidth="1"/>
    <col min="11" max="11" width="13.33203125" style="2" customWidth="1"/>
    <col min="12" max="17" width="12.33203125" style="2" bestFit="1" customWidth="1"/>
    <col min="18" max="20" width="11.1640625" style="2" bestFit="1" customWidth="1"/>
    <col min="21" max="21" width="12.33203125" style="2" bestFit="1" customWidth="1"/>
    <col min="22" max="23" width="11.1640625" style="2" bestFit="1" customWidth="1"/>
    <col min="24" max="25" width="12.33203125" style="2" bestFit="1" customWidth="1"/>
    <col min="26" max="28" width="11.1640625" style="2" bestFit="1" customWidth="1"/>
    <col min="29" max="29" width="12.33203125" style="2" bestFit="1" customWidth="1"/>
    <col min="30" max="30" width="11" style="2" bestFit="1" customWidth="1"/>
    <col min="31" max="31" width="11.1640625" style="2" bestFit="1" customWidth="1"/>
    <col min="32" max="32" width="9.5" style="2" bestFit="1" customWidth="1"/>
    <col min="33" max="33" width="13.1640625" style="2" customWidth="1"/>
    <col min="34" max="40" width="9.5" style="2" bestFit="1" customWidth="1"/>
    <col min="41" max="42" width="11.1640625" style="2" bestFit="1" customWidth="1"/>
    <col min="43" max="16384" width="10.83203125" style="2"/>
  </cols>
  <sheetData>
    <row r="1" spans="1:42" ht="34">
      <c r="A1" s="79" t="s">
        <v>27</v>
      </c>
      <c r="E1" s="747" t="s">
        <v>375</v>
      </c>
      <c r="F1" s="762" t="s">
        <v>414</v>
      </c>
      <c r="G1" s="762" t="s">
        <v>376</v>
      </c>
      <c r="H1" s="762" t="s">
        <v>415</v>
      </c>
      <c r="I1" s="762" t="s">
        <v>361</v>
      </c>
      <c r="J1" s="762" t="s">
        <v>382</v>
      </c>
    </row>
    <row r="2" spans="1:42" ht="21">
      <c r="A2" s="79"/>
    </row>
    <row r="3" spans="1:42" ht="51" customHeight="1">
      <c r="A3" s="778" t="s">
        <v>342</v>
      </c>
      <c r="B3" s="778"/>
      <c r="C3" s="778"/>
      <c r="D3" s="778"/>
      <c r="E3" s="778"/>
      <c r="F3" s="778"/>
      <c r="G3" s="778"/>
      <c r="H3" s="778"/>
      <c r="I3" s="778"/>
      <c r="J3" s="778"/>
      <c r="K3" s="778"/>
      <c r="L3" s="778"/>
      <c r="M3" s="778"/>
      <c r="N3" s="778"/>
      <c r="O3" s="778"/>
      <c r="P3" s="778"/>
      <c r="Q3" s="778"/>
    </row>
    <row r="4" spans="1:42" ht="33" customHeight="1">
      <c r="A4" s="783" t="s">
        <v>341</v>
      </c>
      <c r="B4" s="783"/>
      <c r="C4" s="783"/>
      <c r="D4" s="783"/>
      <c r="E4" s="783"/>
      <c r="F4" s="783"/>
      <c r="G4" s="783"/>
      <c r="H4" s="783"/>
      <c r="I4" s="783"/>
      <c r="J4" s="783"/>
      <c r="K4" s="783"/>
      <c r="L4" s="783"/>
      <c r="M4" s="783"/>
      <c r="N4" s="783"/>
      <c r="O4" s="783"/>
      <c r="P4" s="783"/>
      <c r="Q4" s="783"/>
    </row>
    <row r="5" spans="1:42">
      <c r="A5" s="541" t="s">
        <v>367</v>
      </c>
    </row>
    <row r="6" spans="1:42" ht="21">
      <c r="A6" s="79"/>
    </row>
    <row r="7" spans="1:42">
      <c r="A7" s="81" t="s">
        <v>28</v>
      </c>
      <c r="B7" s="82"/>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row>
    <row r="8" spans="1:42">
      <c r="A8" s="81" t="s">
        <v>29</v>
      </c>
      <c r="B8" s="82"/>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2">
      <c r="A9" s="84" t="s">
        <v>30</v>
      </c>
      <c r="B9" s="85" t="s">
        <v>31</v>
      </c>
      <c r="C9" s="86">
        <v>2023</v>
      </c>
      <c r="D9" s="86">
        <v>2024</v>
      </c>
      <c r="E9" s="86">
        <v>2025</v>
      </c>
      <c r="F9" s="86">
        <v>2026</v>
      </c>
      <c r="G9" s="86">
        <v>2027</v>
      </c>
      <c r="H9" s="86">
        <v>2028</v>
      </c>
      <c r="I9" s="86">
        <v>2029</v>
      </c>
      <c r="J9" s="86">
        <v>2030</v>
      </c>
      <c r="K9" s="86">
        <v>2031</v>
      </c>
      <c r="L9" s="86">
        <v>2032</v>
      </c>
      <c r="M9" s="86">
        <v>2033</v>
      </c>
      <c r="N9" s="86">
        <v>2034</v>
      </c>
      <c r="O9" s="86">
        <v>2035</v>
      </c>
      <c r="P9" s="86">
        <v>2036</v>
      </c>
      <c r="Q9" s="86">
        <v>2037</v>
      </c>
      <c r="R9" s="86">
        <v>2038</v>
      </c>
      <c r="S9" s="86">
        <v>2039</v>
      </c>
      <c r="T9" s="86">
        <v>2040</v>
      </c>
      <c r="U9" s="86">
        <v>2041</v>
      </c>
      <c r="V9" s="86">
        <v>2042</v>
      </c>
      <c r="W9" s="86">
        <v>2043</v>
      </c>
      <c r="X9" s="86">
        <v>2044</v>
      </c>
      <c r="Y9" s="86">
        <v>2045</v>
      </c>
      <c r="Z9" s="86">
        <v>2046</v>
      </c>
      <c r="AA9" s="86">
        <v>2047</v>
      </c>
      <c r="AB9" s="86">
        <v>2048</v>
      </c>
      <c r="AC9" s="86">
        <v>2049</v>
      </c>
      <c r="AD9" s="86">
        <v>2050</v>
      </c>
      <c r="AE9" s="86">
        <v>2051</v>
      </c>
      <c r="AF9" s="86">
        <v>2052</v>
      </c>
      <c r="AG9" s="86">
        <v>2053</v>
      </c>
      <c r="AH9" s="86">
        <v>2054</v>
      </c>
      <c r="AI9" s="86">
        <v>2055</v>
      </c>
      <c r="AJ9" s="86">
        <v>2056</v>
      </c>
      <c r="AK9" s="86">
        <v>2057</v>
      </c>
      <c r="AL9" s="86">
        <v>2058</v>
      </c>
      <c r="AM9" s="86">
        <v>2059</v>
      </c>
      <c r="AN9" s="86">
        <v>2060</v>
      </c>
      <c r="AO9" s="86">
        <v>2061</v>
      </c>
      <c r="AP9" s="87"/>
    </row>
    <row r="10" spans="1:42">
      <c r="A10" s="88"/>
      <c r="B10" s="89" t="s">
        <v>32</v>
      </c>
      <c r="C10" s="90"/>
      <c r="D10" s="90">
        <v>83435173.132236004</v>
      </c>
      <c r="E10" s="90">
        <v>33276508.246692702</v>
      </c>
      <c r="F10" s="90">
        <v>30622012.042999998</v>
      </c>
      <c r="G10" s="90">
        <v>44365378.420724757</v>
      </c>
      <c r="H10" s="90">
        <v>33744509.313000001</v>
      </c>
      <c r="I10" s="90">
        <v>18574045.0284114</v>
      </c>
      <c r="J10" s="90">
        <v>22337127.814999998</v>
      </c>
      <c r="K10" s="90">
        <v>34945541.055</v>
      </c>
      <c r="L10" s="90">
        <v>27953497.5</v>
      </c>
      <c r="M10" s="90">
        <v>38269179.898584798</v>
      </c>
      <c r="N10" s="90">
        <v>27735275.300000001</v>
      </c>
      <c r="O10" s="90">
        <v>34198864.975334398</v>
      </c>
      <c r="P10" s="90">
        <v>12051017.199999999</v>
      </c>
      <c r="Q10" s="90">
        <v>34731698.948898599</v>
      </c>
      <c r="R10" s="90">
        <v>0</v>
      </c>
      <c r="S10" s="90">
        <v>0</v>
      </c>
      <c r="T10" s="90">
        <v>0</v>
      </c>
      <c r="U10" s="90">
        <v>0</v>
      </c>
      <c r="V10" s="90">
        <v>33059605</v>
      </c>
      <c r="W10" s="90">
        <v>0</v>
      </c>
      <c r="X10" s="90">
        <v>0</v>
      </c>
      <c r="Y10" s="90">
        <v>0</v>
      </c>
      <c r="Z10" s="90">
        <v>0</v>
      </c>
      <c r="AA10" s="90">
        <v>0</v>
      </c>
      <c r="AB10" s="90">
        <v>0</v>
      </c>
      <c r="AC10" s="90">
        <v>24557143.260955803</v>
      </c>
      <c r="AD10" s="90">
        <v>26016053.399999999</v>
      </c>
      <c r="AE10" s="90">
        <v>0</v>
      </c>
      <c r="AF10" s="90">
        <v>0</v>
      </c>
      <c r="AG10" s="90">
        <v>0</v>
      </c>
      <c r="AH10" s="90">
        <v>0</v>
      </c>
      <c r="AI10" s="90">
        <v>0</v>
      </c>
      <c r="AJ10" s="90">
        <v>0</v>
      </c>
      <c r="AK10" s="90">
        <v>0</v>
      </c>
      <c r="AL10" s="90">
        <v>0</v>
      </c>
      <c r="AM10" s="90">
        <v>0</v>
      </c>
      <c r="AN10" s="90">
        <v>0</v>
      </c>
      <c r="AO10" s="90">
        <v>0</v>
      </c>
      <c r="AP10" s="91">
        <v>0</v>
      </c>
    </row>
    <row r="11" spans="1:42">
      <c r="A11" s="92">
        <v>45291</v>
      </c>
      <c r="B11" s="93" t="s">
        <v>33</v>
      </c>
      <c r="C11" s="90"/>
      <c r="D11" s="90">
        <v>16242398.362446271</v>
      </c>
      <c r="E11" s="90">
        <v>32265927.37022854</v>
      </c>
      <c r="F11" s="90">
        <v>28328392.745031927</v>
      </c>
      <c r="G11" s="90">
        <v>26215698.614925679</v>
      </c>
      <c r="H11" s="90">
        <v>24322325.778194405</v>
      </c>
      <c r="I11" s="90">
        <v>22465133.788063362</v>
      </c>
      <c r="J11" s="90">
        <v>22115475.64645569</v>
      </c>
      <c r="K11" s="90">
        <v>20546359.58350936</v>
      </c>
      <c r="L11" s="90">
        <v>18369224.694379643</v>
      </c>
      <c r="M11" s="90">
        <v>16584357.668746024</v>
      </c>
      <c r="N11" s="90">
        <v>13119108.154746462</v>
      </c>
      <c r="O11" s="90">
        <v>11270628.739091359</v>
      </c>
      <c r="P11" s="90">
        <v>9014331.8839412443</v>
      </c>
      <c r="Q11" s="90">
        <v>8360652.2881894782</v>
      </c>
      <c r="R11" s="90">
        <v>6401716.8578542918</v>
      </c>
      <c r="S11" s="90">
        <v>6445443.0435699206</v>
      </c>
      <c r="T11" s="90">
        <v>6490481.0148570184</v>
      </c>
      <c r="U11" s="90">
        <v>6536870.125282729</v>
      </c>
      <c r="V11" s="90">
        <v>6584650.9090212137</v>
      </c>
      <c r="W11" s="90">
        <v>3575851.6537718475</v>
      </c>
      <c r="X11" s="90">
        <v>3626542.2872400028</v>
      </c>
      <c r="Y11" s="90">
        <v>3678753.6397122028</v>
      </c>
      <c r="Z11" s="90">
        <v>3732531.3327585692</v>
      </c>
      <c r="AA11" s="90">
        <v>3787922.3565963265</v>
      </c>
      <c r="AB11" s="90">
        <v>3844975.1111492161</v>
      </c>
      <c r="AC11" s="90">
        <v>3903739.4483386911</v>
      </c>
      <c r="AD11" s="90">
        <v>1886163.8715000004</v>
      </c>
      <c r="AE11" s="90">
        <v>0</v>
      </c>
      <c r="AF11" s="90">
        <v>0</v>
      </c>
      <c r="AG11" s="90">
        <v>0</v>
      </c>
      <c r="AH11" s="90">
        <v>0</v>
      </c>
      <c r="AI11" s="90">
        <v>0</v>
      </c>
      <c r="AJ11" s="90">
        <v>0</v>
      </c>
      <c r="AK11" s="90">
        <v>0</v>
      </c>
      <c r="AL11" s="90">
        <v>0</v>
      </c>
      <c r="AM11" s="90">
        <v>0</v>
      </c>
      <c r="AN11" s="90">
        <v>0</v>
      </c>
      <c r="AO11" s="90">
        <v>0</v>
      </c>
      <c r="AP11" s="91"/>
    </row>
    <row r="12" spans="1:42">
      <c r="A12" s="94"/>
      <c r="B12" s="95" t="s">
        <v>34</v>
      </c>
      <c r="C12" s="96"/>
      <c r="D12" s="96">
        <f>D10+D11</f>
        <v>99677571.494682282</v>
      </c>
      <c r="E12" s="96">
        <f t="shared" ref="E12:AO12" si="0">E10+E11</f>
        <v>65542435.616921246</v>
      </c>
      <c r="F12" s="96">
        <f t="shared" si="0"/>
        <v>58950404.788031921</v>
      </c>
      <c r="G12" s="96">
        <f t="shared" si="0"/>
        <v>70581077.035650432</v>
      </c>
      <c r="H12" s="96">
        <f t="shared" si="0"/>
        <v>58066835.091194406</v>
      </c>
      <c r="I12" s="96">
        <f t="shared" si="0"/>
        <v>41039178.816474766</v>
      </c>
      <c r="J12" s="96">
        <f t="shared" si="0"/>
        <v>44452603.461455688</v>
      </c>
      <c r="K12" s="96">
        <f t="shared" si="0"/>
        <v>55491900.638509363</v>
      </c>
      <c r="L12" s="96">
        <f t="shared" si="0"/>
        <v>46322722.194379643</v>
      </c>
      <c r="M12" s="96">
        <f t="shared" si="0"/>
        <v>54853537.567330822</v>
      </c>
      <c r="N12" s="96">
        <f t="shared" si="0"/>
        <v>40854383.454746462</v>
      </c>
      <c r="O12" s="96">
        <f t="shared" si="0"/>
        <v>45469493.714425758</v>
      </c>
      <c r="P12" s="96">
        <f t="shared" si="0"/>
        <v>21065349.083941244</v>
      </c>
      <c r="Q12" s="96">
        <f t="shared" si="0"/>
        <v>43092351.237088077</v>
      </c>
      <c r="R12" s="96">
        <f t="shared" si="0"/>
        <v>6401716.8578542918</v>
      </c>
      <c r="S12" s="96">
        <f t="shared" si="0"/>
        <v>6445443.0435699206</v>
      </c>
      <c r="T12" s="96">
        <f t="shared" si="0"/>
        <v>6490481.0148570184</v>
      </c>
      <c r="U12" s="96">
        <f t="shared" si="0"/>
        <v>6536870.125282729</v>
      </c>
      <c r="V12" s="96">
        <f t="shared" si="0"/>
        <v>39644255.909021214</v>
      </c>
      <c r="W12" s="96">
        <f t="shared" si="0"/>
        <v>3575851.6537718475</v>
      </c>
      <c r="X12" s="96">
        <f t="shared" si="0"/>
        <v>3626542.2872400028</v>
      </c>
      <c r="Y12" s="96">
        <f t="shared" si="0"/>
        <v>3678753.6397122028</v>
      </c>
      <c r="Z12" s="96">
        <f t="shared" si="0"/>
        <v>3732531.3327585692</v>
      </c>
      <c r="AA12" s="96">
        <f t="shared" si="0"/>
        <v>3787922.3565963265</v>
      </c>
      <c r="AB12" s="96">
        <f t="shared" si="0"/>
        <v>3844975.1111492161</v>
      </c>
      <c r="AC12" s="96">
        <f t="shared" si="0"/>
        <v>28460882.709294494</v>
      </c>
      <c r="AD12" s="96">
        <f t="shared" si="0"/>
        <v>27902217.271499999</v>
      </c>
      <c r="AE12" s="96">
        <f t="shared" si="0"/>
        <v>0</v>
      </c>
      <c r="AF12" s="96">
        <f t="shared" si="0"/>
        <v>0</v>
      </c>
      <c r="AG12" s="96">
        <f t="shared" si="0"/>
        <v>0</v>
      </c>
      <c r="AH12" s="96">
        <f t="shared" si="0"/>
        <v>0</v>
      </c>
      <c r="AI12" s="96">
        <f t="shared" si="0"/>
        <v>0</v>
      </c>
      <c r="AJ12" s="96">
        <f t="shared" si="0"/>
        <v>0</v>
      </c>
      <c r="AK12" s="96">
        <f t="shared" si="0"/>
        <v>0</v>
      </c>
      <c r="AL12" s="96">
        <f t="shared" si="0"/>
        <v>0</v>
      </c>
      <c r="AM12" s="96">
        <f t="shared" si="0"/>
        <v>0</v>
      </c>
      <c r="AN12" s="96">
        <f t="shared" si="0"/>
        <v>0</v>
      </c>
      <c r="AO12" s="96">
        <f t="shared" si="0"/>
        <v>0</v>
      </c>
      <c r="AP12" s="97"/>
    </row>
    <row r="13" spans="1:42">
      <c r="A13" s="49"/>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row>
    <row r="14" spans="1:42">
      <c r="A14" s="81" t="s">
        <v>35</v>
      </c>
      <c r="B14" s="82"/>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row>
    <row r="15" spans="1:42">
      <c r="A15" s="81" t="s">
        <v>29</v>
      </c>
      <c r="B15" s="82"/>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row>
    <row r="16" spans="1:42">
      <c r="A16" s="84" t="s">
        <v>30</v>
      </c>
      <c r="B16" s="85" t="s">
        <v>31</v>
      </c>
      <c r="C16" s="86">
        <v>2023</v>
      </c>
      <c r="D16" s="86">
        <v>2024</v>
      </c>
      <c r="E16" s="86">
        <v>2025</v>
      </c>
      <c r="F16" s="86">
        <v>2026</v>
      </c>
      <c r="G16" s="86">
        <v>2027</v>
      </c>
      <c r="H16" s="86">
        <v>2028</v>
      </c>
      <c r="I16" s="86">
        <v>2029</v>
      </c>
      <c r="J16" s="86">
        <v>2030</v>
      </c>
      <c r="K16" s="86">
        <v>2031</v>
      </c>
      <c r="L16" s="86">
        <v>2032</v>
      </c>
      <c r="M16" s="86">
        <v>2033</v>
      </c>
      <c r="N16" s="86">
        <v>2034</v>
      </c>
      <c r="O16" s="86">
        <v>2035</v>
      </c>
      <c r="P16" s="86">
        <v>2036</v>
      </c>
      <c r="Q16" s="86">
        <v>2037</v>
      </c>
      <c r="R16" s="86">
        <v>2038</v>
      </c>
      <c r="S16" s="86">
        <v>2039</v>
      </c>
      <c r="T16" s="86">
        <v>2040</v>
      </c>
      <c r="U16" s="86">
        <v>2041</v>
      </c>
      <c r="V16" s="86">
        <v>2042</v>
      </c>
      <c r="W16" s="86">
        <v>2043</v>
      </c>
      <c r="X16" s="86">
        <v>2044</v>
      </c>
      <c r="Y16" s="86">
        <v>2045</v>
      </c>
      <c r="Z16" s="86">
        <v>2046</v>
      </c>
      <c r="AA16" s="86">
        <v>2047</v>
      </c>
      <c r="AB16" s="86">
        <v>2048</v>
      </c>
      <c r="AC16" s="86">
        <v>2049</v>
      </c>
      <c r="AD16" s="86">
        <v>2050</v>
      </c>
      <c r="AE16" s="86">
        <v>2051</v>
      </c>
      <c r="AF16" s="86">
        <v>2052</v>
      </c>
      <c r="AG16" s="86">
        <v>2053</v>
      </c>
      <c r="AH16" s="86">
        <v>2054</v>
      </c>
      <c r="AI16" s="86">
        <v>2055</v>
      </c>
      <c r="AJ16" s="86">
        <v>2056</v>
      </c>
      <c r="AK16" s="86">
        <v>2057</v>
      </c>
      <c r="AL16" s="86">
        <v>2058</v>
      </c>
      <c r="AM16" s="86">
        <v>2059</v>
      </c>
      <c r="AN16" s="86">
        <v>2060</v>
      </c>
      <c r="AO16" s="86">
        <v>2061</v>
      </c>
      <c r="AP16" s="87"/>
    </row>
    <row r="17" spans="1:42">
      <c r="A17" s="88"/>
      <c r="B17" s="89" t="s">
        <v>32</v>
      </c>
      <c r="C17" s="90"/>
      <c r="D17" s="90">
        <v>9755897.2655201443</v>
      </c>
      <c r="E17" s="90">
        <v>15807223.220811373</v>
      </c>
      <c r="F17" s="90">
        <v>17829722.480354838</v>
      </c>
      <c r="G17" s="90">
        <v>18561313.419217873</v>
      </c>
      <c r="H17" s="90">
        <v>11281312.69649623</v>
      </c>
      <c r="I17" s="90">
        <v>18240337.420335624</v>
      </c>
      <c r="J17" s="90">
        <v>14917480.872357644</v>
      </c>
      <c r="K17" s="90">
        <v>19679560.844068483</v>
      </c>
      <c r="L17" s="90">
        <v>15546708.080415104</v>
      </c>
      <c r="M17" s="90">
        <v>15743046.356039841</v>
      </c>
      <c r="N17" s="90">
        <v>15485928.791679934</v>
      </c>
      <c r="O17" s="90">
        <v>13080431.503572127</v>
      </c>
      <c r="P17" s="90">
        <v>12784308.565663824</v>
      </c>
      <c r="Q17" s="90">
        <v>10817235.688077413</v>
      </c>
      <c r="R17" s="90">
        <v>8660399.6549016684</v>
      </c>
      <c r="S17" s="90">
        <v>4583863.1620001206</v>
      </c>
      <c r="T17" s="90">
        <v>5134498.7000374878</v>
      </c>
      <c r="U17" s="90">
        <v>11099822.061176369</v>
      </c>
      <c r="V17" s="90">
        <v>4739664.136456972</v>
      </c>
      <c r="W17" s="90">
        <v>228452.84102732592</v>
      </c>
      <c r="X17" s="90">
        <v>9684965.056577675</v>
      </c>
      <c r="Y17" s="90">
        <v>17320315.442032352</v>
      </c>
      <c r="Z17" s="90">
        <v>119299.25529735946</v>
      </c>
      <c r="AA17" s="90">
        <v>98455.787726191367</v>
      </c>
      <c r="AB17" s="90">
        <v>98272.049884753025</v>
      </c>
      <c r="AC17" s="90">
        <v>10797215.427933535</v>
      </c>
      <c r="AD17" s="90">
        <v>58309.242448665616</v>
      </c>
      <c r="AE17" s="90">
        <v>5733075</v>
      </c>
      <c r="AF17" s="90">
        <v>0</v>
      </c>
      <c r="AG17" s="90">
        <v>4777562.5</v>
      </c>
      <c r="AH17" s="90">
        <v>0</v>
      </c>
      <c r="AI17" s="90">
        <v>0</v>
      </c>
      <c r="AJ17" s="90">
        <v>0</v>
      </c>
      <c r="AK17" s="90">
        <v>0</v>
      </c>
      <c r="AL17" s="90">
        <v>0</v>
      </c>
      <c r="AM17" s="90">
        <v>0</v>
      </c>
      <c r="AN17" s="90">
        <v>0</v>
      </c>
      <c r="AO17" s="90">
        <v>4968665</v>
      </c>
      <c r="AP17" s="91">
        <v>0</v>
      </c>
    </row>
    <row r="18" spans="1:42">
      <c r="A18" s="92">
        <v>45291</v>
      </c>
      <c r="B18" s="93" t="s">
        <v>33</v>
      </c>
      <c r="C18" s="90"/>
      <c r="D18" s="90">
        <v>8314831.4775322266</v>
      </c>
      <c r="E18" s="90">
        <v>13749402.318337025</v>
      </c>
      <c r="F18" s="90">
        <v>12130942.576857686</v>
      </c>
      <c r="G18" s="90">
        <v>11398262.967548408</v>
      </c>
      <c r="H18" s="90">
        <v>10712515.847754084</v>
      </c>
      <c r="I18" s="90">
        <v>10118487.15086738</v>
      </c>
      <c r="J18" s="90">
        <v>9450085.3493253961</v>
      </c>
      <c r="K18" s="90">
        <v>8848609.0910110921</v>
      </c>
      <c r="L18" s="90">
        <v>8200306.0328269955</v>
      </c>
      <c r="M18" s="90">
        <v>7431372.3819665536</v>
      </c>
      <c r="N18" s="90">
        <v>6531780.9709474836</v>
      </c>
      <c r="O18" s="90">
        <v>5900963.7099589966</v>
      </c>
      <c r="P18" s="90">
        <v>5276683.6977734333</v>
      </c>
      <c r="Q18" s="90">
        <v>4985732.1577611184</v>
      </c>
      <c r="R18" s="90">
        <v>4292695.1682943078</v>
      </c>
      <c r="S18" s="90">
        <v>4123965.0815841001</v>
      </c>
      <c r="T18" s="90">
        <v>3886917.270426196</v>
      </c>
      <c r="U18" s="90">
        <v>3420078.3897579256</v>
      </c>
      <c r="V18" s="90">
        <v>2964758.8784646341</v>
      </c>
      <c r="W18" s="90">
        <v>2840206.398255012</v>
      </c>
      <c r="X18" s="90">
        <v>2568886.7316277344</v>
      </c>
      <c r="Y18" s="90">
        <v>1863560.0861269669</v>
      </c>
      <c r="Z18" s="90">
        <v>1431096.6514607151</v>
      </c>
      <c r="AA18" s="90">
        <v>1428833.9150841925</v>
      </c>
      <c r="AB18" s="90">
        <v>1430876.7250014106</v>
      </c>
      <c r="AC18" s="90">
        <v>1140696.4412363959</v>
      </c>
      <c r="AD18" s="90">
        <v>859274.50195164303</v>
      </c>
      <c r="AE18" s="90">
        <v>737954.24765625002</v>
      </c>
      <c r="AF18" s="90">
        <v>620748.69562500005</v>
      </c>
      <c r="AG18" s="90">
        <v>619052.66093750007</v>
      </c>
      <c r="AH18" s="90">
        <v>195209.87664930557</v>
      </c>
      <c r="AI18" s="90">
        <v>195209.87664930557</v>
      </c>
      <c r="AJ18" s="90">
        <v>195744.69822916665</v>
      </c>
      <c r="AK18" s="90">
        <v>195209.87664930557</v>
      </c>
      <c r="AL18" s="90">
        <v>195209.87664930557</v>
      </c>
      <c r="AM18" s="90">
        <v>195209.87664930557</v>
      </c>
      <c r="AN18" s="90">
        <v>195744.69822916665</v>
      </c>
      <c r="AO18" s="90">
        <v>98407.170694444445</v>
      </c>
      <c r="AP18" s="91">
        <v>0</v>
      </c>
    </row>
    <row r="19" spans="1:42">
      <c r="A19" s="94"/>
      <c r="B19" s="95" t="s">
        <v>34</v>
      </c>
      <c r="C19" s="96"/>
      <c r="D19" s="96">
        <f>D17+D18</f>
        <v>18070728.743052371</v>
      </c>
      <c r="E19" s="96">
        <f t="shared" ref="E19:AO19" si="1">E17+E18</f>
        <v>29556625.539148398</v>
      </c>
      <c r="F19" s="96">
        <f t="shared" si="1"/>
        <v>29960665.057212524</v>
      </c>
      <c r="G19" s="96">
        <f t="shared" si="1"/>
        <v>29959576.386766281</v>
      </c>
      <c r="H19" s="96">
        <f t="shared" si="1"/>
        <v>21993828.544250313</v>
      </c>
      <c r="I19" s="96">
        <f t="shared" si="1"/>
        <v>28358824.571203005</v>
      </c>
      <c r="J19" s="96">
        <f t="shared" si="1"/>
        <v>24367566.22168304</v>
      </c>
      <c r="K19" s="96">
        <f t="shared" si="1"/>
        <v>28528169.935079575</v>
      </c>
      <c r="L19" s="96">
        <f t="shared" si="1"/>
        <v>23747014.113242097</v>
      </c>
      <c r="M19" s="96">
        <f t="shared" si="1"/>
        <v>23174418.738006394</v>
      </c>
      <c r="N19" s="96">
        <f t="shared" si="1"/>
        <v>22017709.762627415</v>
      </c>
      <c r="O19" s="96">
        <f t="shared" si="1"/>
        <v>18981395.213531122</v>
      </c>
      <c r="P19" s="96">
        <f t="shared" si="1"/>
        <v>18060992.263437256</v>
      </c>
      <c r="Q19" s="96">
        <f t="shared" si="1"/>
        <v>15802967.845838532</v>
      </c>
      <c r="R19" s="96">
        <f t="shared" si="1"/>
        <v>12953094.823195975</v>
      </c>
      <c r="S19" s="96">
        <f t="shared" si="1"/>
        <v>8707828.2435842212</v>
      </c>
      <c r="T19" s="96">
        <f t="shared" si="1"/>
        <v>9021415.9704636838</v>
      </c>
      <c r="U19" s="96">
        <f t="shared" si="1"/>
        <v>14519900.450934295</v>
      </c>
      <c r="V19" s="96">
        <f t="shared" si="1"/>
        <v>7704423.0149216056</v>
      </c>
      <c r="W19" s="96">
        <f t="shared" si="1"/>
        <v>3068659.2392823379</v>
      </c>
      <c r="X19" s="96">
        <f t="shared" si="1"/>
        <v>12253851.788205409</v>
      </c>
      <c r="Y19" s="96">
        <f t="shared" si="1"/>
        <v>19183875.52815932</v>
      </c>
      <c r="Z19" s="96">
        <f t="shared" si="1"/>
        <v>1550395.9067580746</v>
      </c>
      <c r="AA19" s="96">
        <f t="shared" si="1"/>
        <v>1527289.7028103839</v>
      </c>
      <c r="AB19" s="96">
        <f t="shared" si="1"/>
        <v>1529148.7748861637</v>
      </c>
      <c r="AC19" s="96">
        <f t="shared" si="1"/>
        <v>11937911.86916993</v>
      </c>
      <c r="AD19" s="96">
        <f t="shared" si="1"/>
        <v>917583.7444003087</v>
      </c>
      <c r="AE19" s="96">
        <f t="shared" si="1"/>
        <v>6471029.2476562504</v>
      </c>
      <c r="AF19" s="96">
        <f t="shared" si="1"/>
        <v>620748.69562500005</v>
      </c>
      <c r="AG19" s="96">
        <f t="shared" si="1"/>
        <v>5396615.1609375002</v>
      </c>
      <c r="AH19" s="96">
        <f t="shared" si="1"/>
        <v>195209.87664930557</v>
      </c>
      <c r="AI19" s="96">
        <f t="shared" si="1"/>
        <v>195209.87664930557</v>
      </c>
      <c r="AJ19" s="96">
        <f t="shared" si="1"/>
        <v>195744.69822916665</v>
      </c>
      <c r="AK19" s="96">
        <f t="shared" si="1"/>
        <v>195209.87664930557</v>
      </c>
      <c r="AL19" s="96">
        <f t="shared" si="1"/>
        <v>195209.87664930557</v>
      </c>
      <c r="AM19" s="96">
        <f t="shared" si="1"/>
        <v>195209.87664930557</v>
      </c>
      <c r="AN19" s="96">
        <f t="shared" si="1"/>
        <v>195744.69822916665</v>
      </c>
      <c r="AO19" s="96">
        <f t="shared" si="1"/>
        <v>5067072.1706944443</v>
      </c>
      <c r="AP19" s="96"/>
    </row>
    <row r="20" spans="1:42">
      <c r="C20" s="98"/>
      <c r="D20" s="98"/>
      <c r="E20" s="98"/>
      <c r="F20" s="98"/>
      <c r="G20" s="98"/>
      <c r="H20" s="98"/>
      <c r="I20" s="98"/>
      <c r="J20" s="98"/>
      <c r="K20" s="98"/>
      <c r="L20" s="98"/>
      <c r="M20" s="98"/>
    </row>
    <row r="21" spans="1:42">
      <c r="A21" s="81" t="s">
        <v>35</v>
      </c>
      <c r="B21" s="82"/>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row>
    <row r="22" spans="1:42">
      <c r="A22" s="81" t="s">
        <v>36</v>
      </c>
      <c r="B22" s="82"/>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row>
    <row r="23" spans="1:42">
      <c r="A23" s="84" t="s">
        <v>30</v>
      </c>
      <c r="B23" s="85" t="s">
        <v>31</v>
      </c>
      <c r="C23" s="86">
        <v>2023</v>
      </c>
      <c r="D23" s="86">
        <v>2024</v>
      </c>
      <c r="E23" s="86">
        <v>2025</v>
      </c>
      <c r="F23" s="86">
        <v>2026</v>
      </c>
      <c r="G23" s="86">
        <v>2027</v>
      </c>
      <c r="H23" s="86">
        <v>2028</v>
      </c>
      <c r="I23" s="86">
        <v>2029</v>
      </c>
      <c r="J23" s="86">
        <v>2030</v>
      </c>
      <c r="K23" s="86">
        <v>2031</v>
      </c>
      <c r="L23" s="86">
        <v>2032</v>
      </c>
      <c r="M23" s="86">
        <v>2033</v>
      </c>
      <c r="N23" s="86">
        <v>2034</v>
      </c>
      <c r="O23" s="86">
        <v>2035</v>
      </c>
      <c r="P23" s="86">
        <v>2036</v>
      </c>
      <c r="Q23" s="86">
        <v>2037</v>
      </c>
      <c r="R23" s="86">
        <v>2038</v>
      </c>
      <c r="S23" s="86">
        <v>2039</v>
      </c>
      <c r="T23" s="86">
        <v>2040</v>
      </c>
      <c r="U23" s="86">
        <v>2041</v>
      </c>
      <c r="V23" s="86">
        <v>2042</v>
      </c>
      <c r="W23" s="86">
        <v>2043</v>
      </c>
      <c r="X23" s="86">
        <v>2044</v>
      </c>
      <c r="Y23" s="86">
        <v>2045</v>
      </c>
      <c r="Z23" s="86">
        <v>2046</v>
      </c>
      <c r="AA23" s="86">
        <v>2047</v>
      </c>
      <c r="AB23" s="86">
        <v>2048</v>
      </c>
      <c r="AC23" s="86">
        <v>2049</v>
      </c>
      <c r="AD23" s="86">
        <v>2050</v>
      </c>
      <c r="AE23" s="86">
        <v>2051</v>
      </c>
      <c r="AF23" s="86">
        <v>2052</v>
      </c>
      <c r="AG23" s="86">
        <v>2053</v>
      </c>
      <c r="AH23" s="86">
        <v>2054</v>
      </c>
      <c r="AI23" s="86">
        <v>2055</v>
      </c>
      <c r="AJ23" s="86">
        <v>2056</v>
      </c>
      <c r="AK23" s="86">
        <v>2057</v>
      </c>
      <c r="AL23" s="86">
        <v>2058</v>
      </c>
      <c r="AM23" s="86">
        <v>2059</v>
      </c>
      <c r="AN23" s="86">
        <v>2060</v>
      </c>
      <c r="AO23" s="86">
        <v>2061</v>
      </c>
      <c r="AP23" s="87"/>
    </row>
    <row r="24" spans="1:42">
      <c r="A24" s="88"/>
      <c r="B24" s="89" t="s">
        <v>32</v>
      </c>
      <c r="C24" s="90"/>
      <c r="D24" s="90">
        <v>2518.0927919015835</v>
      </c>
      <c r="E24" s="90">
        <v>4079.9993859080746</v>
      </c>
      <c r="F24" s="90">
        <v>4664.9631690728374</v>
      </c>
      <c r="G24" s="90">
        <v>4856.3763998947879</v>
      </c>
      <c r="H24" s="90">
        <v>2951.639224106495</v>
      </c>
      <c r="I24" s="90">
        <v>4772.3963371320688</v>
      </c>
      <c r="J24" s="90">
        <v>3903.0051601516579</v>
      </c>
      <c r="K24" s="90">
        <v>5148.9543161571619</v>
      </c>
      <c r="L24" s="90">
        <v>4067.6359755668041</v>
      </c>
      <c r="M24" s="90">
        <v>4119.0058623094519</v>
      </c>
      <c r="N24" s="90">
        <v>4051.7337009405774</v>
      </c>
      <c r="O24" s="90">
        <v>3422.3601218121494</v>
      </c>
      <c r="P24" s="90">
        <v>3344.8826063666943</v>
      </c>
      <c r="Q24" s="90">
        <v>2830.2182567149598</v>
      </c>
      <c r="R24" s="90">
        <v>2265.9043327276377</v>
      </c>
      <c r="S24" s="90">
        <v>1199.320564095216</v>
      </c>
      <c r="T24" s="90">
        <v>1343.3886788601635</v>
      </c>
      <c r="U24" s="90">
        <v>2904.1540694591563</v>
      </c>
      <c r="V24" s="90">
        <v>1240.0842836846646</v>
      </c>
      <c r="W24" s="90">
        <v>59.772331870939915</v>
      </c>
      <c r="X24" s="90">
        <v>2533.9713129283173</v>
      </c>
      <c r="Y24" s="90">
        <v>4531.6820664387833</v>
      </c>
      <c r="Z24" s="90">
        <v>31.213420886006059</v>
      </c>
      <c r="AA24" s="90">
        <v>25.759942367627676</v>
      </c>
      <c r="AB24" s="90">
        <v>25.711869254654705</v>
      </c>
      <c r="AC24" s="90">
        <v>2824.9801619375817</v>
      </c>
      <c r="AD24" s="90">
        <v>15.256012466782385</v>
      </c>
      <c r="AE24" s="90">
        <v>1500</v>
      </c>
      <c r="AF24" s="90">
        <v>0</v>
      </c>
      <c r="AG24" s="90">
        <v>1250</v>
      </c>
      <c r="AH24" s="90">
        <v>0</v>
      </c>
      <c r="AI24" s="90">
        <v>0</v>
      </c>
      <c r="AJ24" s="90">
        <v>0</v>
      </c>
      <c r="AK24" s="90">
        <v>0</v>
      </c>
      <c r="AL24" s="90">
        <v>0</v>
      </c>
      <c r="AM24" s="90">
        <v>0</v>
      </c>
      <c r="AN24" s="90">
        <v>0</v>
      </c>
      <c r="AO24" s="90">
        <v>1300</v>
      </c>
      <c r="AP24" s="90">
        <v>0</v>
      </c>
    </row>
    <row r="25" spans="1:42">
      <c r="A25" s="92">
        <v>45291</v>
      </c>
      <c r="B25" s="93" t="s">
        <v>33</v>
      </c>
      <c r="C25" s="90"/>
      <c r="D25" s="90">
        <v>2146.1395748240275</v>
      </c>
      <c r="E25" s="90">
        <v>3548.855623267315</v>
      </c>
      <c r="F25" s="90">
        <v>3173.9361276952645</v>
      </c>
      <c r="G25" s="90">
        <v>2982.2380574687427</v>
      </c>
      <c r="H25" s="90">
        <v>2802.8193895302475</v>
      </c>
      <c r="I25" s="90">
        <v>2647.3979018765795</v>
      </c>
      <c r="J25" s="90">
        <v>2472.5174577322105</v>
      </c>
      <c r="K25" s="90">
        <v>2315.1473923708722</v>
      </c>
      <c r="L25" s="90">
        <v>2145.5255773281342</v>
      </c>
      <c r="M25" s="90">
        <v>1944.3420106923127</v>
      </c>
      <c r="N25" s="90">
        <v>1708.9731874118559</v>
      </c>
      <c r="O25" s="90">
        <v>1543.9263510312519</v>
      </c>
      <c r="P25" s="90">
        <v>1380.5899184399557</v>
      </c>
      <c r="Q25" s="90">
        <v>1304.4654459677708</v>
      </c>
      <c r="R25" s="90">
        <v>1123.1394587444715</v>
      </c>
      <c r="S25" s="90">
        <v>1078.9929701558326</v>
      </c>
      <c r="T25" s="90">
        <v>1016.9718529130168</v>
      </c>
      <c r="U25" s="90">
        <v>894.82827010581377</v>
      </c>
      <c r="V25" s="90">
        <v>775.69861159970014</v>
      </c>
      <c r="W25" s="90">
        <v>743.11073854476308</v>
      </c>
      <c r="X25" s="90">
        <v>672.12274345645255</v>
      </c>
      <c r="Y25" s="90">
        <v>487.58129436479555</v>
      </c>
      <c r="Z25" s="90">
        <v>374.43169279855448</v>
      </c>
      <c r="AA25" s="90">
        <v>373.83967114093025</v>
      </c>
      <c r="AB25" s="90">
        <v>374.3741513066052</v>
      </c>
      <c r="AC25" s="90">
        <v>298.45147008448237</v>
      </c>
      <c r="AD25" s="90">
        <v>224.82031944941667</v>
      </c>
      <c r="AE25" s="90">
        <v>193.078125</v>
      </c>
      <c r="AF25" s="90">
        <v>162.41249999999999</v>
      </c>
      <c r="AG25" s="90">
        <v>161.96875</v>
      </c>
      <c r="AH25" s="90">
        <v>51.074652777777779</v>
      </c>
      <c r="AI25" s="90">
        <v>51.074652777777779</v>
      </c>
      <c r="AJ25" s="90">
        <v>51.21458333333333</v>
      </c>
      <c r="AK25" s="90">
        <v>51.074652777777779</v>
      </c>
      <c r="AL25" s="90">
        <v>51.074652777777779</v>
      </c>
      <c r="AM25" s="90">
        <v>51.074652777777779</v>
      </c>
      <c r="AN25" s="90">
        <v>51.21458333333333</v>
      </c>
      <c r="AO25" s="90">
        <v>25.74722222222222</v>
      </c>
      <c r="AP25" s="91">
        <v>0</v>
      </c>
    </row>
    <row r="26" spans="1:42">
      <c r="A26" s="94"/>
      <c r="B26" s="95" t="s">
        <v>34</v>
      </c>
      <c r="C26" s="96"/>
      <c r="D26" s="96">
        <f t="shared" ref="D26:E26" si="2">D24+D25</f>
        <v>4664.2323667256114</v>
      </c>
      <c r="E26" s="96">
        <f t="shared" si="2"/>
        <v>7628.8550091753896</v>
      </c>
      <c r="F26" s="96">
        <v>7838.8992967681024</v>
      </c>
      <c r="G26" s="96">
        <v>7838.6144573635302</v>
      </c>
      <c r="H26" s="96">
        <v>5754.4586136367425</v>
      </c>
      <c r="I26" s="96">
        <v>7419.7942390086482</v>
      </c>
      <c r="J26" s="96">
        <v>6375.5226178838684</v>
      </c>
      <c r="K26" s="96">
        <v>7464.1017085280346</v>
      </c>
      <c r="L26" s="96">
        <v>6213.1615528949387</v>
      </c>
      <c r="M26" s="96">
        <v>6063.347873001765</v>
      </c>
      <c r="N26" s="96">
        <v>5760.7068883524335</v>
      </c>
      <c r="O26" s="96">
        <v>4966.2864728434015</v>
      </c>
      <c r="P26" s="96">
        <v>4725.4725248066497</v>
      </c>
      <c r="Q26" s="96">
        <v>4134.6837026827307</v>
      </c>
      <c r="R26" s="96">
        <v>3389.0437914721092</v>
      </c>
      <c r="S26" s="96">
        <v>2278.3135342510486</v>
      </c>
      <c r="T26" s="96">
        <v>2360.3605317731804</v>
      </c>
      <c r="U26" s="96">
        <v>3798.9823395649701</v>
      </c>
      <c r="V26" s="96">
        <v>2015.7828952843647</v>
      </c>
      <c r="W26" s="96">
        <v>802.88307041570295</v>
      </c>
      <c r="X26" s="96">
        <v>3206.0940563847698</v>
      </c>
      <c r="Y26" s="96">
        <v>5019.2633608035785</v>
      </c>
      <c r="Z26" s="96">
        <v>405.64511368456056</v>
      </c>
      <c r="AA26" s="96">
        <v>399.59961350855792</v>
      </c>
      <c r="AB26" s="96">
        <v>400.08602056125989</v>
      </c>
      <c r="AC26" s="96">
        <v>3123.4316320220642</v>
      </c>
      <c r="AD26" s="96">
        <v>240.07633191619905</v>
      </c>
      <c r="AE26" s="96">
        <v>1693.078125</v>
      </c>
      <c r="AF26" s="96">
        <v>162.41249999999999</v>
      </c>
      <c r="AG26" s="96">
        <v>1411.96875</v>
      </c>
      <c r="AH26" s="96">
        <v>51.074652777777779</v>
      </c>
      <c r="AI26" s="96">
        <v>51.074652777777779</v>
      </c>
      <c r="AJ26" s="96">
        <v>51.21458333333333</v>
      </c>
      <c r="AK26" s="96">
        <v>51.074652777777779</v>
      </c>
      <c r="AL26" s="96">
        <v>51.074652777777779</v>
      </c>
      <c r="AM26" s="96">
        <v>51.074652777777779</v>
      </c>
      <c r="AN26" s="96">
        <v>51.21458333333333</v>
      </c>
      <c r="AO26" s="96">
        <v>1325.7472222222223</v>
      </c>
      <c r="AP26" s="96">
        <v>0</v>
      </c>
    </row>
    <row r="28" spans="1:42" ht="18">
      <c r="A28" s="99" t="s">
        <v>37</v>
      </c>
    </row>
    <row r="29" spans="1:42" ht="89" customHeight="1">
      <c r="A29" s="784" t="s">
        <v>368</v>
      </c>
      <c r="B29" s="784"/>
      <c r="C29" s="784"/>
      <c r="D29" s="784"/>
      <c r="E29" s="784"/>
      <c r="F29" s="784"/>
      <c r="G29" s="784"/>
      <c r="H29" s="784"/>
      <c r="I29" s="784"/>
      <c r="J29" s="784"/>
      <c r="K29" s="784"/>
      <c r="L29" s="784"/>
      <c r="M29" s="784"/>
      <c r="N29" s="784"/>
      <c r="O29" s="784"/>
      <c r="P29" s="784"/>
      <c r="Q29" s="784"/>
    </row>
    <row r="30" spans="1:42" ht="43" customHeight="1">
      <c r="A30" s="776" t="s">
        <v>352</v>
      </c>
      <c r="B30" s="776"/>
      <c r="C30" s="776"/>
      <c r="D30" s="776"/>
      <c r="E30" s="776"/>
      <c r="F30" s="776"/>
      <c r="G30" s="776"/>
      <c r="H30" s="776"/>
      <c r="I30" s="776"/>
      <c r="J30" s="776"/>
      <c r="K30" s="776"/>
      <c r="L30" s="776"/>
      <c r="M30" s="776"/>
      <c r="N30" s="776"/>
      <c r="O30" s="776"/>
      <c r="P30" s="776"/>
      <c r="Q30" s="776"/>
    </row>
    <row r="31" spans="1:42">
      <c r="G31" s="31"/>
    </row>
    <row r="32" spans="1:42" ht="15" customHeight="1">
      <c r="A32" s="100" t="s">
        <v>62</v>
      </c>
      <c r="B32" s="101"/>
      <c r="C32" s="101"/>
      <c r="D32" s="101"/>
      <c r="E32" s="101"/>
      <c r="F32" s="101"/>
    </row>
    <row r="33" spans="1:17">
      <c r="A33" s="101"/>
      <c r="C33" s="101"/>
      <c r="D33" s="101"/>
      <c r="E33" s="103"/>
      <c r="F33" s="102"/>
    </row>
    <row r="34" spans="1:17">
      <c r="A34" s="104" t="s">
        <v>38</v>
      </c>
      <c r="B34" s="105" t="s">
        <v>39</v>
      </c>
      <c r="C34" s="106">
        <f>C36+C41+C43+C45+C47</f>
        <v>143243</v>
      </c>
      <c r="D34" s="104" t="s">
        <v>40</v>
      </c>
      <c r="E34" s="105" t="s">
        <v>39</v>
      </c>
      <c r="F34" s="106">
        <f>F36+F41+F45+F47</f>
        <v>143243.10798922344</v>
      </c>
      <c r="H34" s="151"/>
    </row>
    <row r="35" spans="1:17">
      <c r="A35" s="108"/>
      <c r="B35" s="109"/>
      <c r="C35" s="110"/>
      <c r="D35" s="111"/>
      <c r="E35" s="112"/>
      <c r="F35" s="110"/>
    </row>
    <row r="36" spans="1:17" ht="15" customHeight="1">
      <c r="A36" s="113" t="s">
        <v>41</v>
      </c>
      <c r="B36" s="114"/>
      <c r="C36" s="115">
        <f>+C37+C39</f>
        <v>87317</v>
      </c>
      <c r="D36" s="113" t="s">
        <v>42</v>
      </c>
      <c r="E36" s="114"/>
      <c r="F36" s="115">
        <v>94928</v>
      </c>
      <c r="G36" s="31"/>
    </row>
    <row r="37" spans="1:17" ht="16">
      <c r="A37" s="117" t="s">
        <v>44</v>
      </c>
      <c r="B37" s="118">
        <v>5700</v>
      </c>
      <c r="C37" s="119">
        <v>23609</v>
      </c>
      <c r="D37" s="120" t="s">
        <v>45</v>
      </c>
      <c r="E37" s="121"/>
      <c r="F37" s="152">
        <f>F38+F39</f>
        <v>79769</v>
      </c>
      <c r="G37" s="31"/>
      <c r="H37" s="116" t="s">
        <v>43</v>
      </c>
    </row>
    <row r="38" spans="1:17">
      <c r="A38" s="125"/>
      <c r="B38" s="126"/>
      <c r="C38" s="127"/>
      <c r="D38" s="128" t="s">
        <v>47</v>
      </c>
      <c r="E38" s="129"/>
      <c r="F38" s="130">
        <v>62434</v>
      </c>
      <c r="H38" s="123" t="s">
        <v>46</v>
      </c>
      <c r="I38" s="124">
        <f>I42-I39</f>
        <v>50290</v>
      </c>
      <c r="K38" s="2" t="s">
        <v>363</v>
      </c>
    </row>
    <row r="39" spans="1:17">
      <c r="A39" s="117" t="s">
        <v>49</v>
      </c>
      <c r="B39" s="131"/>
      <c r="C39" s="119">
        <v>63708</v>
      </c>
      <c r="D39" s="128" t="s">
        <v>50</v>
      </c>
      <c r="E39" s="132">
        <v>4336</v>
      </c>
      <c r="F39" s="130">
        <v>17335</v>
      </c>
      <c r="H39" s="60" t="s">
        <v>48</v>
      </c>
      <c r="I39" s="569">
        <f>I40+I41</f>
        <v>12144</v>
      </c>
      <c r="K39" s="31"/>
    </row>
    <row r="40" spans="1:17">
      <c r="A40" s="135"/>
      <c r="B40" s="136"/>
      <c r="C40" s="127"/>
      <c r="D40" s="137"/>
      <c r="F40" s="138"/>
      <c r="H40" s="133" t="s">
        <v>51</v>
      </c>
      <c r="I40" s="544"/>
      <c r="K40" s="780" t="s">
        <v>354</v>
      </c>
      <c r="L40" s="780"/>
      <c r="M40" s="780"/>
      <c r="N40" s="780"/>
      <c r="O40" s="780"/>
      <c r="P40" s="780"/>
      <c r="Q40" s="780"/>
    </row>
    <row r="41" spans="1:17">
      <c r="A41" s="113" t="s">
        <v>53</v>
      </c>
      <c r="B41" s="114"/>
      <c r="C41" s="115">
        <v>26095</v>
      </c>
      <c r="D41" s="113" t="s">
        <v>32</v>
      </c>
      <c r="E41" s="114"/>
      <c r="F41" s="115">
        <f>+F42+F43</f>
        <v>24537.567989223426</v>
      </c>
      <c r="H41" s="133" t="s">
        <v>52</v>
      </c>
      <c r="I41" s="544">
        <v>12144</v>
      </c>
      <c r="K41" s="780"/>
      <c r="L41" s="780"/>
      <c r="M41" s="780"/>
      <c r="N41" s="780"/>
      <c r="O41" s="780"/>
      <c r="P41" s="780"/>
      <c r="Q41" s="780"/>
    </row>
    <row r="42" spans="1:17" ht="15" customHeight="1">
      <c r="A42" s="135"/>
      <c r="B42" s="136"/>
      <c r="C42" s="127"/>
      <c r="D42" s="141" t="s">
        <v>55</v>
      </c>
      <c r="E42" s="132">
        <v>4339</v>
      </c>
      <c r="F42" s="130">
        <v>17349.145</v>
      </c>
      <c r="H42" s="139" t="s">
        <v>54</v>
      </c>
      <c r="I42" s="140">
        <f>F38</f>
        <v>62434</v>
      </c>
      <c r="K42" s="49"/>
      <c r="L42" s="633"/>
      <c r="M42" s="633"/>
      <c r="N42" s="633"/>
      <c r="O42" s="633"/>
    </row>
    <row r="43" spans="1:17">
      <c r="A43" s="113"/>
      <c r="B43" s="114"/>
      <c r="C43" s="115"/>
      <c r="D43" s="141" t="s">
        <v>57</v>
      </c>
      <c r="E43" s="129"/>
      <c r="F43" s="130">
        <v>7188.4229892234271</v>
      </c>
      <c r="K43" s="633"/>
      <c r="L43" s="633"/>
      <c r="M43" s="633"/>
      <c r="N43" s="633"/>
      <c r="O43" s="633"/>
    </row>
    <row r="44" spans="1:17" ht="15" customHeight="1">
      <c r="A44" s="137"/>
      <c r="C44" s="138"/>
      <c r="D44" s="142"/>
      <c r="E44" s="143"/>
      <c r="F44" s="144"/>
      <c r="K44" s="779" t="s">
        <v>353</v>
      </c>
      <c r="L44" s="779"/>
      <c r="M44" s="779"/>
      <c r="N44" s="779"/>
      <c r="O44" s="779"/>
      <c r="P44" s="779"/>
      <c r="Q44" s="779"/>
    </row>
    <row r="45" spans="1:17">
      <c r="A45" s="113" t="s">
        <v>58</v>
      </c>
      <c r="B45" s="114"/>
      <c r="C45" s="115">
        <v>8285</v>
      </c>
      <c r="D45" s="113" t="s">
        <v>59</v>
      </c>
      <c r="E45" s="114"/>
      <c r="F45" s="115">
        <f>1148+750</f>
        <v>1898</v>
      </c>
      <c r="H45" s="49"/>
      <c r="I45" s="49"/>
      <c r="J45" s="31"/>
      <c r="K45" s="779"/>
      <c r="L45" s="779"/>
      <c r="M45" s="779"/>
      <c r="N45" s="779"/>
      <c r="O45" s="779"/>
      <c r="P45" s="779"/>
      <c r="Q45" s="779"/>
    </row>
    <row r="46" spans="1:17">
      <c r="A46" s="137"/>
      <c r="C46" s="138"/>
      <c r="D46" s="145"/>
      <c r="E46" s="121"/>
      <c r="F46" s="122"/>
      <c r="H46" s="49"/>
      <c r="I46" s="303"/>
      <c r="K46" s="779"/>
      <c r="L46" s="779"/>
      <c r="M46" s="779"/>
      <c r="N46" s="779"/>
      <c r="O46" s="779"/>
      <c r="P46" s="779"/>
      <c r="Q46" s="779"/>
    </row>
    <row r="47" spans="1:17">
      <c r="A47" s="146" t="s">
        <v>60</v>
      </c>
      <c r="B47" s="147"/>
      <c r="C47" s="148">
        <v>21546</v>
      </c>
      <c r="D47" s="146" t="s">
        <v>61</v>
      </c>
      <c r="E47" s="147"/>
      <c r="F47" s="148">
        <v>21879.54</v>
      </c>
      <c r="G47" s="31"/>
      <c r="H47" s="303"/>
      <c r="I47" s="570"/>
      <c r="K47" s="779"/>
      <c r="L47" s="779"/>
      <c r="M47" s="779"/>
      <c r="N47" s="779"/>
      <c r="O47" s="779"/>
      <c r="P47" s="779"/>
      <c r="Q47" s="779"/>
    </row>
    <row r="48" spans="1:17">
      <c r="A48" s="149" t="s">
        <v>63</v>
      </c>
      <c r="F48" s="150"/>
      <c r="G48" s="31"/>
      <c r="H48" s="303"/>
      <c r="I48" s="49"/>
      <c r="K48" s="779"/>
      <c r="L48" s="779"/>
      <c r="M48" s="779"/>
      <c r="N48" s="779"/>
      <c r="O48" s="779"/>
      <c r="P48" s="779"/>
      <c r="Q48" s="779"/>
    </row>
    <row r="49" spans="1:17">
      <c r="A49" s="39"/>
      <c r="F49" s="31"/>
      <c r="G49" s="31"/>
      <c r="H49" s="303"/>
      <c r="I49" s="49"/>
      <c r="K49" s="779"/>
      <c r="L49" s="779"/>
      <c r="M49" s="779"/>
      <c r="N49" s="779"/>
      <c r="O49" s="779"/>
      <c r="P49" s="779"/>
      <c r="Q49" s="779"/>
    </row>
    <row r="50" spans="1:17">
      <c r="H50" s="49"/>
      <c r="I50" s="49"/>
      <c r="K50" s="779"/>
      <c r="L50" s="779"/>
      <c r="M50" s="779"/>
      <c r="N50" s="779"/>
      <c r="O50" s="779"/>
      <c r="P50" s="779"/>
      <c r="Q50" s="779"/>
    </row>
    <row r="51" spans="1:17" ht="17">
      <c r="A51" s="100" t="s">
        <v>64</v>
      </c>
      <c r="B51" s="101"/>
      <c r="C51" s="101"/>
      <c r="D51" s="101"/>
      <c r="E51" s="101"/>
      <c r="F51" s="101"/>
      <c r="K51" s="779"/>
      <c r="L51" s="779"/>
      <c r="M51" s="779"/>
      <c r="N51" s="779"/>
      <c r="O51" s="779"/>
      <c r="P51" s="779"/>
      <c r="Q51" s="779"/>
    </row>
    <row r="52" spans="1:17">
      <c r="A52" s="101"/>
      <c r="C52" s="101"/>
      <c r="D52" s="101"/>
      <c r="E52" s="103"/>
      <c r="F52" s="102"/>
      <c r="K52" s="779"/>
      <c r="L52" s="779"/>
      <c r="M52" s="779"/>
      <c r="N52" s="779"/>
      <c r="O52" s="779"/>
      <c r="P52" s="779"/>
      <c r="Q52" s="779"/>
    </row>
    <row r="53" spans="1:17">
      <c r="A53" s="104" t="s">
        <v>38</v>
      </c>
      <c r="B53" s="105" t="s">
        <v>39</v>
      </c>
      <c r="C53" s="106">
        <f>C55+C60+C62+C64+C66</f>
        <v>147307.34213420504</v>
      </c>
      <c r="D53" s="104" t="s">
        <v>40</v>
      </c>
      <c r="E53" s="105" t="s">
        <v>39</v>
      </c>
      <c r="F53" s="106">
        <f>F55+F60+F64+F66</f>
        <v>147308.24294344103</v>
      </c>
      <c r="H53" s="49"/>
      <c r="I53" s="307"/>
      <c r="J53" s="151"/>
      <c r="K53" s="779"/>
      <c r="L53" s="779"/>
      <c r="M53" s="779"/>
      <c r="N53" s="779"/>
      <c r="O53" s="779"/>
      <c r="P53" s="779"/>
      <c r="Q53" s="779"/>
    </row>
    <row r="54" spans="1:17">
      <c r="A54" s="108"/>
      <c r="B54" s="109"/>
      <c r="C54" s="110"/>
      <c r="D54" s="111"/>
      <c r="E54" s="112"/>
      <c r="F54" s="110"/>
      <c r="H54" s="49"/>
      <c r="I54" s="303"/>
      <c r="K54" s="779"/>
      <c r="L54" s="779"/>
      <c r="M54" s="779"/>
      <c r="N54" s="779"/>
      <c r="O54" s="779"/>
      <c r="P54" s="779"/>
      <c r="Q54" s="779"/>
    </row>
    <row r="55" spans="1:17">
      <c r="A55" s="113" t="s">
        <v>41</v>
      </c>
      <c r="B55" s="114"/>
      <c r="C55" s="115">
        <f>+C56+C58</f>
        <v>98212</v>
      </c>
      <c r="D55" s="113" t="s">
        <v>42</v>
      </c>
      <c r="E55" s="114"/>
      <c r="F55" s="115">
        <v>91487</v>
      </c>
      <c r="G55" s="31"/>
      <c r="J55" s="49"/>
      <c r="K55" s="633"/>
      <c r="L55" s="633"/>
      <c r="M55" s="633"/>
      <c r="N55" s="633"/>
      <c r="O55" s="633"/>
      <c r="P55" s="49"/>
    </row>
    <row r="56" spans="1:17" ht="16">
      <c r="A56" s="117" t="s">
        <v>44</v>
      </c>
      <c r="B56" s="118">
        <v>9000</v>
      </c>
      <c r="C56" s="119">
        <v>37962</v>
      </c>
      <c r="D56" s="120" t="s">
        <v>45</v>
      </c>
      <c r="E56" s="121"/>
      <c r="F56" s="152">
        <f>F57+F58</f>
        <v>83012.534</v>
      </c>
      <c r="G56" s="31"/>
      <c r="H56" s="116" t="s">
        <v>43</v>
      </c>
      <c r="J56" s="49"/>
      <c r="K56" s="633"/>
      <c r="L56" s="633"/>
      <c r="M56" s="633"/>
      <c r="N56" s="633"/>
      <c r="O56" s="633"/>
      <c r="P56" s="49"/>
    </row>
    <row r="57" spans="1:17">
      <c r="A57" s="125"/>
      <c r="B57" s="126"/>
      <c r="C57" s="127"/>
      <c r="D57" s="128" t="s">
        <v>47</v>
      </c>
      <c r="E57" s="129"/>
      <c r="F57" s="130">
        <v>63179</v>
      </c>
      <c r="H57" s="123" t="s">
        <v>46</v>
      </c>
      <c r="I57" s="124">
        <f>I61-I58</f>
        <v>51735</v>
      </c>
      <c r="J57" s="49"/>
      <c r="K57" s="2" t="s">
        <v>363</v>
      </c>
      <c r="L57" s="633"/>
      <c r="M57" s="633"/>
      <c r="N57" s="633"/>
      <c r="O57" s="633"/>
      <c r="P57" s="49"/>
    </row>
    <row r="58" spans="1:17">
      <c r="A58" s="117" t="s">
        <v>49</v>
      </c>
      <c r="B58" s="131"/>
      <c r="C58" s="119">
        <v>60250</v>
      </c>
      <c r="D58" s="128" t="s">
        <v>50</v>
      </c>
      <c r="E58" s="132">
        <v>4746</v>
      </c>
      <c r="F58" s="130">
        <v>19833.534000000003</v>
      </c>
      <c r="H58" s="60" t="s">
        <v>48</v>
      </c>
      <c r="I58" s="569">
        <f>I59+I60</f>
        <v>11444</v>
      </c>
      <c r="J58" s="303"/>
      <c r="K58" s="31"/>
      <c r="L58" s="633"/>
      <c r="M58" s="633"/>
      <c r="N58" s="633"/>
      <c r="O58" s="633"/>
      <c r="P58" s="49"/>
    </row>
    <row r="59" spans="1:17">
      <c r="A59" s="135"/>
      <c r="B59" s="136"/>
      <c r="C59" s="127"/>
      <c r="D59" s="137"/>
      <c r="F59" s="138"/>
      <c r="H59" s="133" t="s">
        <v>51</v>
      </c>
      <c r="I59" s="544"/>
      <c r="J59" s="303"/>
      <c r="K59" s="780" t="s">
        <v>354</v>
      </c>
      <c r="L59" s="780"/>
      <c r="M59" s="780"/>
      <c r="N59" s="780"/>
      <c r="O59" s="780"/>
      <c r="P59" s="780"/>
      <c r="Q59" s="780"/>
    </row>
    <row r="60" spans="1:17">
      <c r="A60" s="113" t="s">
        <v>53</v>
      </c>
      <c r="B60" s="114"/>
      <c r="C60" s="115">
        <v>22781.448103020735</v>
      </c>
      <c r="D60" s="113" t="s">
        <v>32</v>
      </c>
      <c r="E60" s="114"/>
      <c r="F60" s="115">
        <f>+F61+F62</f>
        <v>48646.59</v>
      </c>
      <c r="H60" s="133" t="s">
        <v>52</v>
      </c>
      <c r="I60" s="544">
        <v>11444</v>
      </c>
      <c r="J60" s="303"/>
      <c r="K60" s="780"/>
      <c r="L60" s="780"/>
      <c r="M60" s="780"/>
      <c r="N60" s="780"/>
      <c r="O60" s="780"/>
      <c r="P60" s="780"/>
      <c r="Q60" s="780"/>
    </row>
    <row r="61" spans="1:17">
      <c r="A61" s="135"/>
      <c r="B61" s="136"/>
      <c r="C61" s="127"/>
      <c r="D61" s="141" t="s">
        <v>55</v>
      </c>
      <c r="E61" s="132">
        <v>4951</v>
      </c>
      <c r="F61" s="130">
        <v>21772.59</v>
      </c>
      <c r="H61" s="139" t="s">
        <v>54</v>
      </c>
      <c r="I61" s="140">
        <f>F57</f>
        <v>63179</v>
      </c>
      <c r="J61" s="49"/>
      <c r="K61" s="303"/>
      <c r="L61" s="49"/>
      <c r="M61" s="49"/>
      <c r="N61" s="49"/>
      <c r="O61" s="49"/>
      <c r="P61" s="49"/>
    </row>
    <row r="62" spans="1:17">
      <c r="A62" s="113" t="s">
        <v>56</v>
      </c>
      <c r="B62" s="114"/>
      <c r="C62" s="115">
        <v>0</v>
      </c>
      <c r="D62" s="141" t="s">
        <v>57</v>
      </c>
      <c r="E62" s="129"/>
      <c r="F62" s="130">
        <v>26874</v>
      </c>
      <c r="K62" s="570"/>
    </row>
    <row r="63" spans="1:17">
      <c r="A63" s="137"/>
      <c r="C63" s="138"/>
      <c r="D63" s="142"/>
      <c r="E63" s="143"/>
      <c r="F63" s="144"/>
      <c r="K63" s="49"/>
    </row>
    <row r="64" spans="1:17">
      <c r="A64" s="113" t="s">
        <v>58</v>
      </c>
      <c r="B64" s="114"/>
      <c r="C64" s="115">
        <v>4434.3540311843099</v>
      </c>
      <c r="D64" s="113" t="s">
        <v>59</v>
      </c>
      <c r="E64" s="114"/>
      <c r="F64" s="115">
        <v>1250</v>
      </c>
      <c r="H64" s="49"/>
      <c r="I64" s="49"/>
      <c r="J64" s="303"/>
      <c r="K64" s="49"/>
    </row>
    <row r="65" spans="1:13">
      <c r="A65" s="137"/>
      <c r="C65" s="138"/>
      <c r="D65" s="145"/>
      <c r="E65" s="121"/>
      <c r="F65" s="122"/>
      <c r="H65" s="49"/>
      <c r="I65" s="303"/>
      <c r="J65" s="49"/>
    </row>
    <row r="66" spans="1:13">
      <c r="A66" s="146" t="s">
        <v>60</v>
      </c>
      <c r="B66" s="147"/>
      <c r="C66" s="148">
        <v>21879.54</v>
      </c>
      <c r="D66" s="146" t="s">
        <v>61</v>
      </c>
      <c r="E66" s="147"/>
      <c r="F66" s="148">
        <v>5924.6529434410359</v>
      </c>
      <c r="G66" s="31"/>
      <c r="H66" s="303"/>
      <c r="I66" s="570"/>
      <c r="J66" s="49"/>
    </row>
    <row r="67" spans="1:13">
      <c r="A67" s="149" t="s">
        <v>63</v>
      </c>
      <c r="F67" s="150"/>
      <c r="G67" s="31"/>
      <c r="H67" s="49"/>
      <c r="I67" s="49"/>
      <c r="J67" s="49"/>
    </row>
    <row r="68" spans="1:13">
      <c r="A68" s="39"/>
      <c r="F68" s="31"/>
      <c r="G68" s="31"/>
    </row>
    <row r="69" spans="1:13" ht="18">
      <c r="A69" s="99" t="s">
        <v>65</v>
      </c>
    </row>
    <row r="70" spans="1:13">
      <c r="A70" s="153"/>
    </row>
    <row r="71" spans="1:13" ht="38.25" customHeight="1">
      <c r="A71" s="776" t="s">
        <v>343</v>
      </c>
      <c r="B71" s="776"/>
      <c r="C71" s="776"/>
      <c r="D71" s="776"/>
      <c r="E71" s="776"/>
      <c r="F71" s="776"/>
      <c r="G71" s="776"/>
      <c r="H71" s="776"/>
      <c r="I71" s="776"/>
      <c r="J71" s="776"/>
      <c r="K71" s="776"/>
      <c r="L71" s="776"/>
      <c r="M71" s="776"/>
    </row>
    <row r="72" spans="1:13">
      <c r="A72" s="542"/>
      <c r="B72" s="107"/>
      <c r="C72" s="107"/>
      <c r="D72" s="107"/>
      <c r="E72" s="107"/>
      <c r="F72" s="107"/>
      <c r="G72" s="107"/>
      <c r="H72" s="107"/>
      <c r="I72" s="107"/>
      <c r="J72" s="107"/>
      <c r="K72" s="107"/>
      <c r="L72" s="107"/>
      <c r="M72" s="107"/>
    </row>
    <row r="73" spans="1:13" ht="37" customHeight="1">
      <c r="A73" s="777" t="s">
        <v>344</v>
      </c>
      <c r="B73" s="777"/>
      <c r="C73" s="777"/>
      <c r="D73" s="777"/>
      <c r="E73" s="777"/>
      <c r="F73" s="777"/>
      <c r="G73" s="777"/>
      <c r="H73" s="777"/>
      <c r="I73" s="777"/>
      <c r="J73" s="777"/>
      <c r="K73" s="777"/>
      <c r="L73" s="777"/>
      <c r="M73" s="777"/>
    </row>
    <row r="74" spans="1:13" ht="16">
      <c r="A74" s="634" t="s">
        <v>364</v>
      </c>
      <c r="B74" s="107"/>
      <c r="C74" s="107"/>
      <c r="D74" s="107"/>
      <c r="E74" s="107"/>
      <c r="F74" s="107"/>
      <c r="G74" s="107"/>
      <c r="H74" s="107"/>
      <c r="I74" s="107"/>
      <c r="J74" s="107"/>
      <c r="K74" s="107"/>
      <c r="L74" s="107"/>
      <c r="M74" s="107"/>
    </row>
    <row r="75" spans="1:13" ht="16">
      <c r="A75" s="543"/>
      <c r="B75" s="107"/>
      <c r="C75" s="107"/>
      <c r="D75" s="107"/>
      <c r="E75" s="107"/>
      <c r="F75" s="107"/>
      <c r="G75" s="107"/>
      <c r="H75" s="107"/>
      <c r="I75" s="107"/>
      <c r="J75" s="107"/>
      <c r="K75" s="107"/>
      <c r="L75" s="107"/>
      <c r="M75" s="107"/>
    </row>
    <row r="76" spans="1:13" ht="16">
      <c r="A76" s="154" t="s">
        <v>66</v>
      </c>
    </row>
    <row r="77" spans="1:13">
      <c r="A77" s="155" t="s">
        <v>67</v>
      </c>
    </row>
    <row r="78" spans="1:13">
      <c r="A78" s="156" t="s">
        <v>68</v>
      </c>
      <c r="B78" s="157">
        <v>45291</v>
      </c>
      <c r="C78" s="158"/>
      <c r="D78" s="159"/>
      <c r="E78" s="159"/>
      <c r="F78" s="159"/>
      <c r="G78" s="160" t="s">
        <v>69</v>
      </c>
      <c r="H78" s="161">
        <v>357.99459999999999</v>
      </c>
      <c r="J78" s="160"/>
      <c r="K78" s="162"/>
    </row>
    <row r="79" spans="1:13" ht="32">
      <c r="A79" s="163" t="s">
        <v>70</v>
      </c>
      <c r="B79" s="163" t="s">
        <v>71</v>
      </c>
      <c r="C79" s="163"/>
      <c r="D79" s="163" t="s">
        <v>72</v>
      </c>
      <c r="E79" s="163" t="s">
        <v>73</v>
      </c>
      <c r="F79" s="163" t="s">
        <v>74</v>
      </c>
      <c r="G79" s="163" t="s">
        <v>75</v>
      </c>
      <c r="H79" s="163" t="s">
        <v>76</v>
      </c>
      <c r="J79" s="164" t="s">
        <v>77</v>
      </c>
      <c r="K79" s="164" t="s">
        <v>78</v>
      </c>
    </row>
    <row r="80" spans="1:13">
      <c r="A80" s="781"/>
      <c r="B80" s="782"/>
      <c r="C80" s="782"/>
      <c r="D80" s="165">
        <v>45784</v>
      </c>
      <c r="E80" s="171" t="s">
        <v>80</v>
      </c>
      <c r="F80" s="167">
        <v>11</v>
      </c>
      <c r="G80" s="168">
        <v>3.5000000000000003E-2</v>
      </c>
      <c r="H80" s="169">
        <v>19016275.419999398</v>
      </c>
      <c r="J80" s="170">
        <f t="shared" ref="J80:J87" si="3">H80/$H$78</f>
        <v>53118.888999999996</v>
      </c>
      <c r="K80" s="172">
        <f t="shared" ref="K80:K86" si="4">+YEAR(D80)</f>
        <v>2025</v>
      </c>
    </row>
    <row r="81" spans="1:14">
      <c r="A81" s="781"/>
      <c r="B81" s="782"/>
      <c r="C81" s="782"/>
      <c r="D81" s="165">
        <v>46463</v>
      </c>
      <c r="E81" s="166" t="s">
        <v>80</v>
      </c>
      <c r="F81" s="167">
        <v>11</v>
      </c>
      <c r="G81" s="168">
        <v>3.3000000000000002E-2</v>
      </c>
      <c r="H81" s="169">
        <v>23822656.862414803</v>
      </c>
      <c r="J81" s="170">
        <f t="shared" si="3"/>
        <v>66544.738000000012</v>
      </c>
      <c r="K81" s="172">
        <f t="shared" si="4"/>
        <v>2027</v>
      </c>
    </row>
    <row r="82" spans="1:14">
      <c r="A82" s="781"/>
      <c r="B82" s="782"/>
      <c r="C82" s="782"/>
      <c r="D82" s="165">
        <v>47226</v>
      </c>
      <c r="E82" s="171" t="s">
        <v>80</v>
      </c>
      <c r="F82" s="167">
        <v>10</v>
      </c>
      <c r="G82" s="168">
        <v>2.2499999999999999E-2</v>
      </c>
      <c r="H82" s="169">
        <v>18770576.566127401</v>
      </c>
      <c r="J82" s="170">
        <f t="shared" si="3"/>
        <v>52432.569000000003</v>
      </c>
      <c r="K82" s="172">
        <f t="shared" si="4"/>
        <v>2029</v>
      </c>
    </row>
    <row r="83" spans="1:14">
      <c r="A83" s="781"/>
      <c r="B83" s="782"/>
      <c r="C83" s="782"/>
      <c r="D83" s="165">
        <v>48663</v>
      </c>
      <c r="E83" s="166" t="s">
        <v>80</v>
      </c>
      <c r="F83" s="167">
        <v>20</v>
      </c>
      <c r="G83" s="168">
        <v>0.03</v>
      </c>
      <c r="H83" s="169">
        <v>15823176.594786398</v>
      </c>
      <c r="J83" s="170">
        <f t="shared" si="3"/>
        <v>44199.483999999997</v>
      </c>
      <c r="K83" s="172">
        <f t="shared" si="4"/>
        <v>2033</v>
      </c>
    </row>
    <row r="84" spans="1:14">
      <c r="A84" s="781"/>
      <c r="B84" s="782"/>
      <c r="C84" s="782"/>
      <c r="D84" s="165">
        <v>49403</v>
      </c>
      <c r="E84" s="171" t="s">
        <v>80</v>
      </c>
      <c r="F84" s="167">
        <v>20</v>
      </c>
      <c r="G84" s="168">
        <v>4.7500000000000001E-2</v>
      </c>
      <c r="H84" s="169">
        <v>34214385.925299197</v>
      </c>
      <c r="J84" s="170">
        <f t="shared" si="3"/>
        <v>95572.351999999999</v>
      </c>
      <c r="K84" s="172">
        <f t="shared" si="4"/>
        <v>2035</v>
      </c>
    </row>
    <row r="85" spans="1:14">
      <c r="A85" s="781"/>
      <c r="B85" s="782"/>
      <c r="C85" s="782"/>
      <c r="D85" s="165">
        <v>50096</v>
      </c>
      <c r="E85" s="166" t="s">
        <v>80</v>
      </c>
      <c r="F85" s="167">
        <v>18</v>
      </c>
      <c r="G85" s="168">
        <v>3.7499999999999999E-2</v>
      </c>
      <c r="H85" s="169">
        <v>34896321.962958001</v>
      </c>
      <c r="J85" s="170">
        <f t="shared" si="3"/>
        <v>97477.23000000001</v>
      </c>
      <c r="K85" s="172">
        <f t="shared" si="4"/>
        <v>2037</v>
      </c>
    </row>
    <row r="86" spans="1:14">
      <c r="A86" s="781"/>
      <c r="B86" s="782"/>
      <c r="C86" s="782"/>
      <c r="D86" s="165">
        <v>54590</v>
      </c>
      <c r="E86" s="171" t="s">
        <v>80</v>
      </c>
      <c r="F86" s="167">
        <v>32</v>
      </c>
      <c r="G86" s="168">
        <v>3.7499999999999999E-2</v>
      </c>
      <c r="H86" s="169">
        <v>24700567.377989404</v>
      </c>
      <c r="J86" s="170">
        <f t="shared" si="3"/>
        <v>68997.039000000019</v>
      </c>
      <c r="K86" s="172">
        <f t="shared" si="4"/>
        <v>2049</v>
      </c>
    </row>
    <row r="87" spans="1:14" ht="18" customHeight="1">
      <c r="A87" s="173"/>
      <c r="B87" s="775" t="s">
        <v>81</v>
      </c>
      <c r="C87" s="775"/>
      <c r="D87" s="775"/>
      <c r="E87" s="775"/>
      <c r="F87" s="775"/>
      <c r="G87" s="775"/>
      <c r="H87" s="174">
        <f>SUM(H80:H86)</f>
        <v>171243960.70957461</v>
      </c>
      <c r="J87" s="174">
        <f t="shared" si="3"/>
        <v>478342.30100000004</v>
      </c>
      <c r="K87" s="174"/>
    </row>
    <row r="90" spans="1:14">
      <c r="A90" s="175" t="s">
        <v>82</v>
      </c>
    </row>
    <row r="91" spans="1:14" ht="16">
      <c r="A91" s="176" t="s">
        <v>83</v>
      </c>
      <c r="B91" s="177"/>
      <c r="C91" s="177">
        <v>2024</v>
      </c>
      <c r="D91" s="177">
        <v>2025</v>
      </c>
      <c r="E91" s="177">
        <v>2026</v>
      </c>
      <c r="F91" s="177">
        <v>2027</v>
      </c>
      <c r="G91" s="177">
        <v>2028</v>
      </c>
      <c r="H91" s="177">
        <v>2029</v>
      </c>
      <c r="I91" s="177">
        <v>2030</v>
      </c>
      <c r="J91" s="177">
        <v>2031</v>
      </c>
      <c r="K91" s="177">
        <v>2032</v>
      </c>
      <c r="L91" s="177">
        <v>2033</v>
      </c>
      <c r="M91" s="177">
        <v>2034</v>
      </c>
      <c r="N91" s="177">
        <v>2035</v>
      </c>
    </row>
    <row r="92" spans="1:14" ht="16">
      <c r="A92" s="178" t="s">
        <v>84</v>
      </c>
      <c r="B92" s="179"/>
      <c r="C92" s="179">
        <f>'Deuda a emitir'!E13</f>
        <v>357.8322</v>
      </c>
      <c r="D92" s="179">
        <f>'Deuda a emitir'!F13</f>
        <v>357.8322</v>
      </c>
      <c r="E92" s="179">
        <f>'Deuda a emitir'!G13</f>
        <v>357.8322</v>
      </c>
      <c r="F92" s="179">
        <f>'Deuda a emitir'!H13</f>
        <v>357.8322</v>
      </c>
      <c r="G92" s="179">
        <f>'Deuda a emitir'!I13</f>
        <v>357.8322</v>
      </c>
      <c r="H92" s="179">
        <f>'Deuda a emitir'!J13</f>
        <v>357.8322</v>
      </c>
      <c r="I92" s="179">
        <f>'Deuda a emitir'!K13</f>
        <v>357.8322</v>
      </c>
      <c r="J92" s="179">
        <f>'Deuda a emitir'!L13</f>
        <v>357.8322</v>
      </c>
      <c r="K92" s="179">
        <f>'Deuda a emitir'!M13</f>
        <v>357.8322</v>
      </c>
      <c r="L92" s="179">
        <f>'Deuda a emitir'!N13</f>
        <v>357.8322</v>
      </c>
      <c r="M92" s="179">
        <f>'Deuda a emitir'!O13</f>
        <v>357.8322</v>
      </c>
      <c r="N92" s="179">
        <f>'Deuda a emitir'!P13</f>
        <v>357.8322</v>
      </c>
    </row>
    <row r="93" spans="1:14" ht="16">
      <c r="A93" s="178" t="s">
        <v>79</v>
      </c>
      <c r="B93" s="179"/>
      <c r="C93" s="179">
        <f>'Deuda a emitir'!F13</f>
        <v>357.8322</v>
      </c>
      <c r="D93" s="179">
        <f>'Deuda a emitir'!G13</f>
        <v>357.8322</v>
      </c>
      <c r="E93" s="179">
        <f>'Deuda a emitir'!H13</f>
        <v>357.8322</v>
      </c>
      <c r="F93" s="179">
        <f>'Deuda a emitir'!I13</f>
        <v>357.8322</v>
      </c>
      <c r="G93" s="179">
        <f>'Deuda a emitir'!J13</f>
        <v>357.8322</v>
      </c>
      <c r="H93" s="179">
        <f>'Deuda a emitir'!K13</f>
        <v>357.8322</v>
      </c>
      <c r="I93" s="179">
        <f>'Deuda a emitir'!L13</f>
        <v>357.8322</v>
      </c>
      <c r="J93" s="179">
        <f>'Deuda a emitir'!M13</f>
        <v>357.8322</v>
      </c>
      <c r="K93" s="179">
        <f>'Deuda a emitir'!N13</f>
        <v>357.8322</v>
      </c>
      <c r="L93" s="179">
        <f>'Deuda a emitir'!O13</f>
        <v>357.8322</v>
      </c>
      <c r="M93" s="179">
        <f>'Deuda a emitir'!P13</f>
        <v>357.8322</v>
      </c>
      <c r="N93" s="179">
        <f>'Deuda a emitir'!Q13</f>
        <v>357.8322</v>
      </c>
    </row>
    <row r="94" spans="1:14" ht="16">
      <c r="A94" s="178" t="s">
        <v>26</v>
      </c>
      <c r="B94" s="179"/>
      <c r="C94" s="179">
        <f>+C93-C92</f>
        <v>0</v>
      </c>
      <c r="D94" s="179">
        <f t="shared" ref="D94:N94" si="5">+D93-D92</f>
        <v>0</v>
      </c>
      <c r="E94" s="179">
        <f t="shared" si="5"/>
        <v>0</v>
      </c>
      <c r="F94" s="179">
        <f t="shared" si="5"/>
        <v>0</v>
      </c>
      <c r="G94" s="179">
        <f t="shared" si="5"/>
        <v>0</v>
      </c>
      <c r="H94" s="179">
        <f t="shared" si="5"/>
        <v>0</v>
      </c>
      <c r="I94" s="179">
        <f t="shared" si="5"/>
        <v>0</v>
      </c>
      <c r="J94" s="179">
        <f t="shared" si="5"/>
        <v>0</v>
      </c>
      <c r="K94" s="179">
        <f t="shared" si="5"/>
        <v>0</v>
      </c>
      <c r="L94" s="179">
        <f t="shared" si="5"/>
        <v>0</v>
      </c>
      <c r="M94" s="179">
        <f t="shared" si="5"/>
        <v>0</v>
      </c>
      <c r="N94" s="179">
        <f t="shared" si="5"/>
        <v>0</v>
      </c>
    </row>
    <row r="95" spans="1:14" ht="48" customHeight="1">
      <c r="A95" s="178" t="s">
        <v>85</v>
      </c>
      <c r="B95" s="180"/>
      <c r="C95" s="180">
        <f>SUMIFS($J$80:$J$86,$K$80:$K$86,"&gt;="&amp;C91)</f>
        <v>478342.30099999998</v>
      </c>
      <c r="D95" s="180">
        <f t="shared" ref="D95:N95" si="6">SUMIFS($J$80:$J$86,$K$80:$K$86,"&gt;="&amp;D91)</f>
        <v>478342.30099999998</v>
      </c>
      <c r="E95" s="180">
        <f t="shared" si="6"/>
        <v>425223.41200000001</v>
      </c>
      <c r="F95" s="180">
        <f t="shared" si="6"/>
        <v>425223.41200000001</v>
      </c>
      <c r="G95" s="180">
        <f t="shared" si="6"/>
        <v>358678.674</v>
      </c>
      <c r="H95" s="180">
        <f t="shared" si="6"/>
        <v>358678.674</v>
      </c>
      <c r="I95" s="180">
        <f t="shared" si="6"/>
        <v>306246.10500000004</v>
      </c>
      <c r="J95" s="180">
        <f t="shared" si="6"/>
        <v>306246.10500000004</v>
      </c>
      <c r="K95" s="180">
        <f t="shared" si="6"/>
        <v>306246.10500000004</v>
      </c>
      <c r="L95" s="180">
        <f t="shared" si="6"/>
        <v>306246.10500000004</v>
      </c>
      <c r="M95" s="180">
        <f t="shared" si="6"/>
        <v>262046.62100000001</v>
      </c>
      <c r="N95" s="180">
        <f t="shared" si="6"/>
        <v>262046.62100000001</v>
      </c>
    </row>
    <row r="96" spans="1:14" ht="16">
      <c r="A96" s="176" t="s">
        <v>52</v>
      </c>
      <c r="B96" s="181"/>
      <c r="C96" s="181">
        <f>+C95*C94</f>
        <v>0</v>
      </c>
      <c r="D96" s="181">
        <f t="shared" ref="D96:N96" si="7">+D95*D94</f>
        <v>0</v>
      </c>
      <c r="E96" s="181">
        <f t="shared" si="7"/>
        <v>0</v>
      </c>
      <c r="F96" s="181">
        <f t="shared" si="7"/>
        <v>0</v>
      </c>
      <c r="G96" s="181">
        <f t="shared" si="7"/>
        <v>0</v>
      </c>
      <c r="H96" s="181">
        <f t="shared" si="7"/>
        <v>0</v>
      </c>
      <c r="I96" s="181">
        <f t="shared" si="7"/>
        <v>0</v>
      </c>
      <c r="J96" s="181">
        <f t="shared" si="7"/>
        <v>0</v>
      </c>
      <c r="K96" s="181">
        <f t="shared" si="7"/>
        <v>0</v>
      </c>
      <c r="L96" s="181">
        <f t="shared" si="7"/>
        <v>0</v>
      </c>
      <c r="M96" s="181">
        <f t="shared" si="7"/>
        <v>0</v>
      </c>
      <c r="N96" s="181">
        <f t="shared" si="7"/>
        <v>0</v>
      </c>
    </row>
    <row r="97" spans="1:13">
      <c r="A97" s="182"/>
      <c r="B97" s="182"/>
      <c r="C97" s="182"/>
      <c r="D97" s="182"/>
      <c r="E97" s="182"/>
      <c r="F97" s="182"/>
      <c r="G97" s="182"/>
      <c r="H97" s="182"/>
      <c r="I97" s="182"/>
      <c r="J97" s="182"/>
      <c r="K97" s="182"/>
      <c r="L97" s="182"/>
    </row>
    <row r="98" spans="1:13" ht="16">
      <c r="A98" s="183"/>
      <c r="B98" s="183"/>
      <c r="C98" s="183"/>
      <c r="D98" s="184"/>
      <c r="E98" s="183"/>
      <c r="F98" s="185"/>
      <c r="G98" s="186"/>
      <c r="H98" s="183"/>
      <c r="I98" s="185"/>
      <c r="J98" s="183"/>
      <c r="K98" s="183"/>
      <c r="L98" s="183"/>
      <c r="M98" s="183"/>
    </row>
    <row r="99" spans="1:13">
      <c r="D99" s="187"/>
      <c r="F99" s="188"/>
      <c r="G99" s="31"/>
      <c r="I99" s="188"/>
    </row>
    <row r="100" spans="1:13">
      <c r="F100" s="188"/>
      <c r="G100" s="31"/>
      <c r="I100" s="188"/>
    </row>
    <row r="101" spans="1:13">
      <c r="D101" s="187"/>
      <c r="F101" s="188"/>
      <c r="G101" s="31"/>
      <c r="I101" s="188"/>
    </row>
    <row r="102" spans="1:13">
      <c r="F102" s="188"/>
      <c r="G102" s="31"/>
      <c r="I102" s="188"/>
    </row>
    <row r="103" spans="1:13">
      <c r="D103" s="187"/>
      <c r="F103" s="188"/>
      <c r="G103" s="31"/>
      <c r="I103" s="188"/>
    </row>
    <row r="104" spans="1:13">
      <c r="D104" s="187"/>
      <c r="F104" s="188"/>
      <c r="G104" s="31"/>
      <c r="I104" s="188"/>
    </row>
  </sheetData>
  <mergeCells count="12">
    <mergeCell ref="B87:G87"/>
    <mergeCell ref="A71:M71"/>
    <mergeCell ref="A73:M73"/>
    <mergeCell ref="A3:Q3"/>
    <mergeCell ref="A30:Q30"/>
    <mergeCell ref="K44:Q54"/>
    <mergeCell ref="K40:Q41"/>
    <mergeCell ref="K59:Q60"/>
    <mergeCell ref="A80:A86"/>
    <mergeCell ref="B80:C86"/>
    <mergeCell ref="A4:Q4"/>
    <mergeCell ref="A29:Q29"/>
  </mergeCells>
  <hyperlinks>
    <hyperlink ref="A5" r:id="rId1" display="https://www.irc.gov.co/webcenter/portal/IRCEs/pages_Deuda/perfildeudapblicagnc/perfildeudapblicagnchistorico" xr:uid="{98C429E1-84DA-FF45-B62C-DF0E851183F7}"/>
    <hyperlink ref="A74" r:id="rId2" xr:uid="{8B0FB30A-A8E6-E145-BE6F-362847BFF841}"/>
    <hyperlink ref="F1" location="'Insumos externos'!A1" display="Insumos externos" xr:uid="{F125334A-9DD7-7F43-B2D0-F08EA11CC056}"/>
    <hyperlink ref="G1" location="'Deuda a emitir'!A1" display="Deuda a emitir" xr:uid="{7A8F3E1B-5193-C84A-8DE6-B172C501C807}"/>
    <hyperlink ref="H1" location="'Deuda GNC'!A1" display="Deuda GNC" xr:uid="{8AC76F06-E619-1C4C-80D0-F425BB516106}"/>
    <hyperlink ref="I1" location="'Gráficos deuda'!A1" display="Gráficos de deuda" xr:uid="{AD947331-B43C-2F4A-B9E0-FEBD89127F65}"/>
    <hyperlink ref="J1" location="'Cumplimiento de la regla'!A1" display="Cumplimiento de la regla" xr:uid="{B48EB941-6E1B-5C42-9B90-DE874587B9E1}"/>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C23BD-5436-4546-9924-B74F77333C56}">
  <sheetPr>
    <tabColor rgb="FFD4D3D2"/>
  </sheetPr>
  <dimension ref="A1:BE804"/>
  <sheetViews>
    <sheetView zoomScaleNormal="80" workbookViewId="0">
      <pane ySplit="3" topLeftCell="A4" activePane="bottomLeft" state="frozen"/>
      <selection activeCell="D106" sqref="D106:O106"/>
      <selection pane="bottomLeft" activeCell="Q1" sqref="Q1"/>
    </sheetView>
  </sheetViews>
  <sheetFormatPr baseColWidth="10" defaultColWidth="10.83203125" defaultRowHeight="15"/>
  <cols>
    <col min="1" max="1" width="9.6640625" style="2" customWidth="1"/>
    <col min="2" max="2" width="15.5" style="2" customWidth="1"/>
    <col min="3" max="3" width="40.83203125" style="2" customWidth="1"/>
    <col min="4" max="4" width="9.1640625" style="2" hidden="1" customWidth="1"/>
    <col min="5" max="17" width="11.1640625" style="2" customWidth="1"/>
    <col min="18" max="53" width="7.1640625" style="2" bestFit="1" customWidth="1"/>
    <col min="54" max="16384" width="10.83203125" style="2"/>
  </cols>
  <sheetData>
    <row r="1" spans="1:53" ht="39">
      <c r="A1" s="189" t="s">
        <v>373</v>
      </c>
      <c r="E1" s="763" t="s">
        <v>416</v>
      </c>
      <c r="F1" s="764" t="s">
        <v>1</v>
      </c>
      <c r="G1" s="764" t="s">
        <v>376</v>
      </c>
      <c r="H1" s="765" t="s">
        <v>377</v>
      </c>
      <c r="I1" s="765" t="s">
        <v>378</v>
      </c>
      <c r="J1" s="765" t="s">
        <v>122</v>
      </c>
      <c r="K1" s="765" t="s">
        <v>121</v>
      </c>
      <c r="L1" s="765" t="s">
        <v>379</v>
      </c>
      <c r="M1" s="766"/>
      <c r="N1" s="767" t="s">
        <v>375</v>
      </c>
      <c r="O1" s="768" t="s">
        <v>414</v>
      </c>
      <c r="P1" s="768" t="s">
        <v>376</v>
      </c>
      <c r="Q1" s="768" t="s">
        <v>415</v>
      </c>
      <c r="R1" s="768" t="s">
        <v>361</v>
      </c>
      <c r="S1" s="768" t="s">
        <v>382</v>
      </c>
    </row>
    <row r="3" spans="1:53" s="182" customFormat="1" ht="16">
      <c r="C3" s="190"/>
      <c r="D3" s="177">
        <v>2022</v>
      </c>
      <c r="E3" s="177">
        <v>2023</v>
      </c>
      <c r="F3" s="177">
        <v>2024</v>
      </c>
      <c r="G3" s="177">
        <v>2025</v>
      </c>
      <c r="H3" s="177">
        <v>2026</v>
      </c>
      <c r="I3" s="177">
        <v>2027</v>
      </c>
      <c r="J3" s="177">
        <v>2028</v>
      </c>
      <c r="K3" s="177">
        <v>2029</v>
      </c>
      <c r="L3" s="177">
        <v>2030</v>
      </c>
      <c r="M3" s="177">
        <v>2031</v>
      </c>
      <c r="N3" s="177">
        <v>2032</v>
      </c>
      <c r="O3" s="177">
        <v>2033</v>
      </c>
      <c r="P3" s="177">
        <v>2034</v>
      </c>
      <c r="Q3" s="191">
        <v>2035</v>
      </c>
      <c r="R3" s="177">
        <v>2036</v>
      </c>
      <c r="S3" s="177">
        <v>2037</v>
      </c>
      <c r="T3" s="177">
        <v>2038</v>
      </c>
      <c r="U3" s="177">
        <v>2039</v>
      </c>
      <c r="V3" s="177">
        <v>2040</v>
      </c>
      <c r="W3" s="177">
        <v>2041</v>
      </c>
      <c r="X3" s="177">
        <v>2042</v>
      </c>
      <c r="Y3" s="177">
        <v>2043</v>
      </c>
      <c r="Z3" s="177">
        <v>2044</v>
      </c>
      <c r="AA3" s="177">
        <v>2045</v>
      </c>
      <c r="AB3" s="177">
        <v>2046</v>
      </c>
      <c r="AC3" s="177">
        <v>2047</v>
      </c>
      <c r="AD3" s="177">
        <v>2048</v>
      </c>
      <c r="AE3" s="177">
        <v>2049</v>
      </c>
      <c r="AF3" s="177">
        <v>2050</v>
      </c>
      <c r="AG3" s="177">
        <v>2051</v>
      </c>
      <c r="AH3" s="177">
        <v>2052</v>
      </c>
      <c r="AI3" s="177">
        <v>2053</v>
      </c>
      <c r="AJ3" s="177">
        <v>2054</v>
      </c>
      <c r="AK3" s="177">
        <v>2055</v>
      </c>
      <c r="AL3" s="177">
        <v>2056</v>
      </c>
      <c r="AM3" s="177">
        <v>2057</v>
      </c>
      <c r="AN3" s="177">
        <v>2058</v>
      </c>
      <c r="AO3" s="177">
        <v>2059</v>
      </c>
      <c r="AP3" s="177">
        <v>2060</v>
      </c>
      <c r="AQ3" s="177">
        <v>2061</v>
      </c>
      <c r="AR3" s="177">
        <v>2062</v>
      </c>
      <c r="AS3" s="177">
        <v>2063</v>
      </c>
      <c r="AT3" s="177">
        <v>2064</v>
      </c>
      <c r="AU3" s="177">
        <v>2065</v>
      </c>
      <c r="AV3" s="177">
        <v>2066</v>
      </c>
      <c r="AW3" s="177">
        <v>2067</v>
      </c>
      <c r="AX3" s="177">
        <v>2068</v>
      </c>
      <c r="AY3" s="177">
        <v>2069</v>
      </c>
      <c r="AZ3" s="177">
        <v>2070</v>
      </c>
      <c r="BA3" s="177">
        <v>2071</v>
      </c>
    </row>
    <row r="4" spans="1:53" s="182" customFormat="1" ht="40" customHeight="1">
      <c r="A4" s="789" t="s">
        <v>374</v>
      </c>
      <c r="B4" s="789"/>
      <c r="C4" s="789"/>
      <c r="D4" s="789"/>
      <c r="E4" s="789"/>
      <c r="F4" s="789"/>
      <c r="G4" s="789"/>
      <c r="H4" s="789"/>
      <c r="I4" s="789"/>
      <c r="J4" s="789"/>
      <c r="K4" s="789"/>
      <c r="L4" s="789"/>
      <c r="M4" s="789"/>
      <c r="N4" s="789"/>
      <c r="O4" s="789"/>
      <c r="P4" s="789"/>
      <c r="Q4" s="789"/>
    </row>
    <row r="5" spans="1:53" s="182" customFormat="1" ht="16">
      <c r="B5" s="192"/>
      <c r="C5" s="193"/>
      <c r="D5" s="193"/>
    </row>
    <row r="6" spans="1:53" s="182" customFormat="1" ht="18">
      <c r="B6" s="189" t="s">
        <v>1</v>
      </c>
      <c r="C6" s="193"/>
      <c r="D6" s="193"/>
    </row>
    <row r="7" spans="1:53" s="182" customFormat="1" ht="16">
      <c r="B7" s="194" t="s">
        <v>86</v>
      </c>
      <c r="C7" s="195" t="s">
        <v>87</v>
      </c>
      <c r="D7" s="177">
        <v>2022</v>
      </c>
      <c r="E7" s="177">
        <v>2023</v>
      </c>
      <c r="F7" s="177">
        <v>2024</v>
      </c>
      <c r="G7" s="177">
        <v>2025</v>
      </c>
      <c r="H7" s="177">
        <v>2026</v>
      </c>
      <c r="I7" s="177">
        <v>2027</v>
      </c>
      <c r="J7" s="177">
        <v>2028</v>
      </c>
      <c r="K7" s="177">
        <v>2029</v>
      </c>
      <c r="L7" s="177">
        <v>2030</v>
      </c>
      <c r="M7" s="177">
        <v>2031</v>
      </c>
      <c r="N7" s="177">
        <v>2032</v>
      </c>
      <c r="O7" s="177">
        <v>2033</v>
      </c>
      <c r="P7" s="177">
        <v>2034</v>
      </c>
      <c r="Q7" s="191">
        <v>2035</v>
      </c>
      <c r="R7" s="177">
        <v>2036</v>
      </c>
      <c r="S7" s="177">
        <v>2037</v>
      </c>
      <c r="T7" s="177">
        <v>2038</v>
      </c>
      <c r="U7" s="177">
        <v>2039</v>
      </c>
      <c r="V7" s="177">
        <v>2040</v>
      </c>
      <c r="W7" s="177">
        <v>2041</v>
      </c>
      <c r="X7" s="177">
        <v>2042</v>
      </c>
      <c r="Y7" s="177">
        <v>2043</v>
      </c>
      <c r="Z7" s="177">
        <v>2044</v>
      </c>
      <c r="AA7" s="177">
        <v>2045</v>
      </c>
      <c r="AB7" s="177">
        <v>2046</v>
      </c>
      <c r="AC7" s="177">
        <v>2047</v>
      </c>
      <c r="AD7" s="177">
        <v>2048</v>
      </c>
      <c r="AE7" s="177">
        <v>2049</v>
      </c>
      <c r="AF7" s="177">
        <v>2050</v>
      </c>
      <c r="AG7" s="177">
        <v>2051</v>
      </c>
      <c r="AH7" s="177">
        <v>2052</v>
      </c>
      <c r="AI7" s="177">
        <v>2053</v>
      </c>
      <c r="AJ7" s="177">
        <v>2054</v>
      </c>
      <c r="AK7" s="177">
        <v>2055</v>
      </c>
      <c r="AL7" s="177">
        <v>2056</v>
      </c>
      <c r="AM7" s="177">
        <v>2057</v>
      </c>
      <c r="AN7" s="177">
        <v>2058</v>
      </c>
      <c r="AO7" s="177">
        <v>2059</v>
      </c>
      <c r="AP7" s="177">
        <v>2060</v>
      </c>
      <c r="AQ7" s="177">
        <v>2061</v>
      </c>
      <c r="AR7" s="177">
        <v>2062</v>
      </c>
      <c r="AS7" s="177">
        <v>2063</v>
      </c>
      <c r="AT7" s="177">
        <v>2064</v>
      </c>
      <c r="AU7" s="177">
        <v>2065</v>
      </c>
      <c r="AV7" s="177">
        <v>2066</v>
      </c>
      <c r="AW7" s="177">
        <v>2067</v>
      </c>
      <c r="AX7" s="177">
        <v>2068</v>
      </c>
      <c r="AY7" s="177">
        <v>2069</v>
      </c>
      <c r="AZ7" s="177">
        <v>2070</v>
      </c>
      <c r="BA7" s="177">
        <v>2071</v>
      </c>
    </row>
    <row r="8" spans="1:53" s="182" customFormat="1" ht="16">
      <c r="B8" s="785" t="s">
        <v>88</v>
      </c>
      <c r="C8" s="196" t="s">
        <v>89</v>
      </c>
      <c r="D8" s="600">
        <v>1469790.9999999977</v>
      </c>
      <c r="E8" s="197">
        <v>1572458.3388982201</v>
      </c>
      <c r="F8" s="198">
        <f>E8*(1+F9)</f>
        <v>1572458.3388982201</v>
      </c>
      <c r="G8" s="198">
        <f>F8*(1+G9)</f>
        <v>1572458.3388982201</v>
      </c>
      <c r="H8" s="198">
        <f>G8*(1+H9)</f>
        <v>1572458.3388982201</v>
      </c>
      <c r="I8" s="198">
        <f t="shared" ref="I8:Q8" si="0">H8*(1+I9)</f>
        <v>1572458.3388982201</v>
      </c>
      <c r="J8" s="198">
        <f t="shared" si="0"/>
        <v>1572458.3388982201</v>
      </c>
      <c r="K8" s="198">
        <f t="shared" si="0"/>
        <v>1572458.3388982201</v>
      </c>
      <c r="L8" s="198">
        <f t="shared" si="0"/>
        <v>1572458.3388982201</v>
      </c>
      <c r="M8" s="198">
        <f t="shared" si="0"/>
        <v>1572458.3388982201</v>
      </c>
      <c r="N8" s="198">
        <f t="shared" si="0"/>
        <v>1572458.3388982201</v>
      </c>
      <c r="O8" s="198">
        <f t="shared" si="0"/>
        <v>1572458.3388982201</v>
      </c>
      <c r="P8" s="198">
        <f t="shared" si="0"/>
        <v>1572458.3388982201</v>
      </c>
      <c r="Q8" s="203">
        <f t="shared" si="0"/>
        <v>1572458.3388982201</v>
      </c>
    </row>
    <row r="9" spans="1:53" s="182" customFormat="1" ht="16">
      <c r="B9" s="787"/>
      <c r="C9" s="199" t="s">
        <v>90</v>
      </c>
      <c r="D9" s="601">
        <v>0.23239065798895495</v>
      </c>
      <c r="E9" s="200">
        <v>6.9851658431860475E-2</v>
      </c>
      <c r="F9" s="201"/>
      <c r="G9" s="201"/>
      <c r="H9" s="201"/>
      <c r="I9" s="201"/>
      <c r="J9" s="201"/>
      <c r="K9" s="201"/>
      <c r="L9" s="201"/>
      <c r="M9" s="201"/>
      <c r="N9" s="201"/>
      <c r="O9" s="201"/>
      <c r="P9" s="201"/>
      <c r="Q9" s="202"/>
    </row>
    <row r="10" spans="1:53" s="182" customFormat="1" ht="16">
      <c r="B10" s="785" t="s">
        <v>91</v>
      </c>
      <c r="C10" s="196" t="s">
        <v>89</v>
      </c>
      <c r="D10" s="600">
        <v>972298</v>
      </c>
      <c r="E10" s="197">
        <v>978233.16473216843</v>
      </c>
      <c r="F10" s="198">
        <f>E10*(1+F11)</f>
        <v>978233.16473216843</v>
      </c>
      <c r="G10" s="198">
        <f>F10*(1+G11)</f>
        <v>978233.16473216843</v>
      </c>
      <c r="H10" s="198">
        <f>G10*(1+H11)</f>
        <v>978233.16473216843</v>
      </c>
      <c r="I10" s="198">
        <f t="shared" ref="I10" si="1">H10*(1+I11)</f>
        <v>978233.16473216843</v>
      </c>
      <c r="J10" s="198">
        <f t="shared" ref="J10" si="2">I10*(1+J11)</f>
        <v>978233.16473216843</v>
      </c>
      <c r="K10" s="198">
        <f t="shared" ref="K10" si="3">J10*(1+K11)</f>
        <v>978233.16473216843</v>
      </c>
      <c r="L10" s="198">
        <f t="shared" ref="L10" si="4">K10*(1+L11)</f>
        <v>978233.16473216843</v>
      </c>
      <c r="M10" s="198">
        <f t="shared" ref="M10" si="5">L10*(1+M11)</f>
        <v>978233.16473216843</v>
      </c>
      <c r="N10" s="198">
        <f t="shared" ref="N10" si="6">M10*(1+N11)</f>
        <v>978233.16473216843</v>
      </c>
      <c r="O10" s="198">
        <f t="shared" ref="O10" si="7">N10*(1+O11)</f>
        <v>978233.16473216843</v>
      </c>
      <c r="P10" s="198">
        <f t="shared" ref="P10" si="8">O10*(1+P11)</f>
        <v>978233.16473216843</v>
      </c>
      <c r="Q10" s="203">
        <f t="shared" ref="Q10" si="9">P10*(1+Q11)</f>
        <v>978233.16473216843</v>
      </c>
    </row>
    <row r="11" spans="1:53" s="182" customFormat="1" ht="16">
      <c r="B11" s="787"/>
      <c r="C11" s="199" t="s">
        <v>90</v>
      </c>
      <c r="D11" s="601">
        <v>7.2888838865514005E-2</v>
      </c>
      <c r="E11" s="200">
        <v>6.1042650835119172E-3</v>
      </c>
      <c r="F11" s="201"/>
      <c r="G11" s="201"/>
      <c r="H11" s="201"/>
      <c r="I11" s="201"/>
      <c r="J11" s="201"/>
      <c r="K11" s="201"/>
      <c r="L11" s="201"/>
      <c r="M11" s="201"/>
      <c r="N11" s="201"/>
      <c r="O11" s="201"/>
      <c r="P11" s="201"/>
      <c r="Q11" s="202"/>
    </row>
    <row r="12" spans="1:53" s="182" customFormat="1" ht="17">
      <c r="B12" s="204" t="s">
        <v>92</v>
      </c>
      <c r="C12" s="205" t="s">
        <v>93</v>
      </c>
      <c r="D12" s="602">
        <v>0.13119999999999998</v>
      </c>
      <c r="E12" s="206">
        <v>9.2799999999999994E-2</v>
      </c>
      <c r="F12" s="207"/>
      <c r="G12" s="207"/>
      <c r="H12" s="207"/>
      <c r="I12" s="207"/>
      <c r="J12" s="207"/>
      <c r="K12" s="207"/>
      <c r="L12" s="207"/>
      <c r="M12" s="207"/>
      <c r="N12" s="207"/>
      <c r="O12" s="207"/>
      <c r="P12" s="207"/>
      <c r="Q12" s="208"/>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10"/>
    </row>
    <row r="13" spans="1:53" s="182" customFormat="1" ht="17">
      <c r="B13" s="204" t="s">
        <v>79</v>
      </c>
      <c r="C13" s="205" t="s">
        <v>94</v>
      </c>
      <c r="D13" s="603">
        <v>324.39330000000001</v>
      </c>
      <c r="E13" s="211">
        <v>357.8322</v>
      </c>
      <c r="F13" s="212">
        <f>E13*(1+F12)</f>
        <v>357.8322</v>
      </c>
      <c r="G13" s="212">
        <f t="shared" ref="G13:BA13" si="10">F13*(1+G12)</f>
        <v>357.8322</v>
      </c>
      <c r="H13" s="212">
        <f t="shared" si="10"/>
        <v>357.8322</v>
      </c>
      <c r="I13" s="212">
        <f t="shared" si="10"/>
        <v>357.8322</v>
      </c>
      <c r="J13" s="212">
        <f t="shared" si="10"/>
        <v>357.8322</v>
      </c>
      <c r="K13" s="212">
        <f t="shared" si="10"/>
        <v>357.8322</v>
      </c>
      <c r="L13" s="212">
        <f t="shared" si="10"/>
        <v>357.8322</v>
      </c>
      <c r="M13" s="212">
        <f t="shared" si="10"/>
        <v>357.8322</v>
      </c>
      <c r="N13" s="212">
        <f t="shared" si="10"/>
        <v>357.8322</v>
      </c>
      <c r="O13" s="212">
        <f t="shared" si="10"/>
        <v>357.8322</v>
      </c>
      <c r="P13" s="212">
        <f t="shared" si="10"/>
        <v>357.8322</v>
      </c>
      <c r="Q13" s="213">
        <f t="shared" si="10"/>
        <v>357.8322</v>
      </c>
      <c r="R13" s="214">
        <f t="shared" si="10"/>
        <v>357.8322</v>
      </c>
      <c r="S13" s="214">
        <f t="shared" si="10"/>
        <v>357.8322</v>
      </c>
      <c r="T13" s="214">
        <f t="shared" si="10"/>
        <v>357.8322</v>
      </c>
      <c r="U13" s="214">
        <f t="shared" si="10"/>
        <v>357.8322</v>
      </c>
      <c r="V13" s="214">
        <f t="shared" si="10"/>
        <v>357.8322</v>
      </c>
      <c r="W13" s="214">
        <f t="shared" si="10"/>
        <v>357.8322</v>
      </c>
      <c r="X13" s="214">
        <f t="shared" si="10"/>
        <v>357.8322</v>
      </c>
      <c r="Y13" s="214">
        <f t="shared" si="10"/>
        <v>357.8322</v>
      </c>
      <c r="Z13" s="214">
        <f t="shared" si="10"/>
        <v>357.8322</v>
      </c>
      <c r="AA13" s="214">
        <f t="shared" si="10"/>
        <v>357.8322</v>
      </c>
      <c r="AB13" s="214">
        <f t="shared" si="10"/>
        <v>357.8322</v>
      </c>
      <c r="AC13" s="214">
        <f t="shared" si="10"/>
        <v>357.8322</v>
      </c>
      <c r="AD13" s="214">
        <f t="shared" si="10"/>
        <v>357.8322</v>
      </c>
      <c r="AE13" s="214">
        <f t="shared" si="10"/>
        <v>357.8322</v>
      </c>
      <c r="AF13" s="214">
        <f t="shared" si="10"/>
        <v>357.8322</v>
      </c>
      <c r="AG13" s="214">
        <f t="shared" si="10"/>
        <v>357.8322</v>
      </c>
      <c r="AH13" s="214">
        <f t="shared" si="10"/>
        <v>357.8322</v>
      </c>
      <c r="AI13" s="214">
        <f t="shared" si="10"/>
        <v>357.8322</v>
      </c>
      <c r="AJ13" s="214">
        <f t="shared" si="10"/>
        <v>357.8322</v>
      </c>
      <c r="AK13" s="214">
        <f t="shared" si="10"/>
        <v>357.8322</v>
      </c>
      <c r="AL13" s="214">
        <f t="shared" si="10"/>
        <v>357.8322</v>
      </c>
      <c r="AM13" s="214">
        <f t="shared" si="10"/>
        <v>357.8322</v>
      </c>
      <c r="AN13" s="214">
        <f t="shared" si="10"/>
        <v>357.8322</v>
      </c>
      <c r="AO13" s="214">
        <f t="shared" si="10"/>
        <v>357.8322</v>
      </c>
      <c r="AP13" s="214">
        <f t="shared" si="10"/>
        <v>357.8322</v>
      </c>
      <c r="AQ13" s="214">
        <f t="shared" si="10"/>
        <v>357.8322</v>
      </c>
      <c r="AR13" s="214">
        <f t="shared" si="10"/>
        <v>357.8322</v>
      </c>
      <c r="AS13" s="214">
        <f t="shared" si="10"/>
        <v>357.8322</v>
      </c>
      <c r="AT13" s="214">
        <f t="shared" si="10"/>
        <v>357.8322</v>
      </c>
      <c r="AU13" s="214">
        <f t="shared" si="10"/>
        <v>357.8322</v>
      </c>
      <c r="AV13" s="212">
        <f t="shared" si="10"/>
        <v>357.8322</v>
      </c>
      <c r="AW13" s="212">
        <f t="shared" si="10"/>
        <v>357.8322</v>
      </c>
      <c r="AX13" s="212">
        <f t="shared" si="10"/>
        <v>357.8322</v>
      </c>
      <c r="AY13" s="212">
        <f t="shared" si="10"/>
        <v>357.8322</v>
      </c>
      <c r="AZ13" s="212">
        <f t="shared" si="10"/>
        <v>357.8322</v>
      </c>
      <c r="BA13" s="213">
        <f t="shared" si="10"/>
        <v>357.8322</v>
      </c>
    </row>
    <row r="14" spans="1:53" s="182" customFormat="1" ht="16">
      <c r="B14" s="785" t="s">
        <v>95</v>
      </c>
      <c r="C14" s="196" t="s">
        <v>96</v>
      </c>
      <c r="D14" s="600">
        <v>4810</v>
      </c>
      <c r="E14" s="197">
        <v>3822.05</v>
      </c>
      <c r="F14" s="215"/>
      <c r="G14" s="215"/>
      <c r="H14" s="215"/>
      <c r="I14" s="215"/>
      <c r="J14" s="215"/>
      <c r="K14" s="215"/>
      <c r="L14" s="215"/>
      <c r="M14" s="215"/>
      <c r="N14" s="215"/>
      <c r="O14" s="215"/>
      <c r="P14" s="215"/>
      <c r="Q14" s="216"/>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6"/>
    </row>
    <row r="15" spans="1:53" s="182" customFormat="1">
      <c r="B15" s="786"/>
      <c r="C15" s="217" t="s">
        <v>97</v>
      </c>
      <c r="D15" s="604">
        <v>0.20819057762059301</v>
      </c>
      <c r="E15" s="605">
        <v>-0.2053950103950104</v>
      </c>
      <c r="F15" s="218">
        <f>(F14/E14)-1</f>
        <v>-1</v>
      </c>
      <c r="G15" s="218" t="e">
        <f t="shared" ref="G15:Q15" si="11">(G14/F14)-1</f>
        <v>#DIV/0!</v>
      </c>
      <c r="H15" s="218" t="e">
        <f t="shared" si="11"/>
        <v>#DIV/0!</v>
      </c>
      <c r="I15" s="218" t="e">
        <f t="shared" si="11"/>
        <v>#DIV/0!</v>
      </c>
      <c r="J15" s="218" t="e">
        <f t="shared" si="11"/>
        <v>#DIV/0!</v>
      </c>
      <c r="K15" s="218" t="e">
        <f t="shared" si="11"/>
        <v>#DIV/0!</v>
      </c>
      <c r="L15" s="218" t="e">
        <f t="shared" si="11"/>
        <v>#DIV/0!</v>
      </c>
      <c r="M15" s="218" t="e">
        <f t="shared" si="11"/>
        <v>#DIV/0!</v>
      </c>
      <c r="N15" s="218" t="e">
        <f t="shared" si="11"/>
        <v>#DIV/0!</v>
      </c>
      <c r="O15" s="218" t="e">
        <f t="shared" si="11"/>
        <v>#DIV/0!</v>
      </c>
      <c r="P15" s="218" t="e">
        <f t="shared" si="11"/>
        <v>#DIV/0!</v>
      </c>
      <c r="Q15" s="219" t="e">
        <f t="shared" si="11"/>
        <v>#DIV/0!</v>
      </c>
      <c r="R15" s="218" t="e">
        <f t="shared" ref="R15:BA15" si="12">Q15</f>
        <v>#DIV/0!</v>
      </c>
      <c r="S15" s="218" t="e">
        <f t="shared" si="12"/>
        <v>#DIV/0!</v>
      </c>
      <c r="T15" s="218" t="e">
        <f t="shared" si="12"/>
        <v>#DIV/0!</v>
      </c>
      <c r="U15" s="218" t="e">
        <f t="shared" si="12"/>
        <v>#DIV/0!</v>
      </c>
      <c r="V15" s="218" t="e">
        <f t="shared" si="12"/>
        <v>#DIV/0!</v>
      </c>
      <c r="W15" s="218" t="e">
        <f t="shared" si="12"/>
        <v>#DIV/0!</v>
      </c>
      <c r="X15" s="218" t="e">
        <f t="shared" si="12"/>
        <v>#DIV/0!</v>
      </c>
      <c r="Y15" s="218" t="e">
        <f t="shared" si="12"/>
        <v>#DIV/0!</v>
      </c>
      <c r="Z15" s="218" t="e">
        <f t="shared" si="12"/>
        <v>#DIV/0!</v>
      </c>
      <c r="AA15" s="218" t="e">
        <f t="shared" si="12"/>
        <v>#DIV/0!</v>
      </c>
      <c r="AB15" s="218" t="e">
        <f t="shared" si="12"/>
        <v>#DIV/0!</v>
      </c>
      <c r="AC15" s="218" t="e">
        <f t="shared" si="12"/>
        <v>#DIV/0!</v>
      </c>
      <c r="AD15" s="218" t="e">
        <f t="shared" si="12"/>
        <v>#DIV/0!</v>
      </c>
      <c r="AE15" s="218" t="e">
        <f t="shared" si="12"/>
        <v>#DIV/0!</v>
      </c>
      <c r="AF15" s="218" t="e">
        <f t="shared" si="12"/>
        <v>#DIV/0!</v>
      </c>
      <c r="AG15" s="218" t="e">
        <f t="shared" si="12"/>
        <v>#DIV/0!</v>
      </c>
      <c r="AH15" s="218" t="e">
        <f t="shared" si="12"/>
        <v>#DIV/0!</v>
      </c>
      <c r="AI15" s="218" t="e">
        <f t="shared" si="12"/>
        <v>#DIV/0!</v>
      </c>
      <c r="AJ15" s="218" t="e">
        <f t="shared" si="12"/>
        <v>#DIV/0!</v>
      </c>
      <c r="AK15" s="218" t="e">
        <f t="shared" si="12"/>
        <v>#DIV/0!</v>
      </c>
      <c r="AL15" s="218" t="e">
        <f t="shared" si="12"/>
        <v>#DIV/0!</v>
      </c>
      <c r="AM15" s="218" t="e">
        <f t="shared" si="12"/>
        <v>#DIV/0!</v>
      </c>
      <c r="AN15" s="218" t="e">
        <f t="shared" si="12"/>
        <v>#DIV/0!</v>
      </c>
      <c r="AO15" s="218" t="e">
        <f t="shared" si="12"/>
        <v>#DIV/0!</v>
      </c>
      <c r="AP15" s="218" t="e">
        <f t="shared" si="12"/>
        <v>#DIV/0!</v>
      </c>
      <c r="AQ15" s="218" t="e">
        <f t="shared" si="12"/>
        <v>#DIV/0!</v>
      </c>
      <c r="AR15" s="218" t="e">
        <f t="shared" si="12"/>
        <v>#DIV/0!</v>
      </c>
      <c r="AS15" s="218" t="e">
        <f t="shared" si="12"/>
        <v>#DIV/0!</v>
      </c>
      <c r="AT15" s="218" t="e">
        <f t="shared" si="12"/>
        <v>#DIV/0!</v>
      </c>
      <c r="AU15" s="218" t="e">
        <f t="shared" si="12"/>
        <v>#DIV/0!</v>
      </c>
      <c r="AV15" s="218" t="e">
        <f t="shared" si="12"/>
        <v>#DIV/0!</v>
      </c>
      <c r="AW15" s="218" t="e">
        <f t="shared" si="12"/>
        <v>#DIV/0!</v>
      </c>
      <c r="AX15" s="218" t="e">
        <f t="shared" si="12"/>
        <v>#DIV/0!</v>
      </c>
      <c r="AY15" s="218" t="e">
        <f t="shared" si="12"/>
        <v>#DIV/0!</v>
      </c>
      <c r="AZ15" s="218" t="e">
        <f t="shared" si="12"/>
        <v>#DIV/0!</v>
      </c>
      <c r="BA15" s="219" t="e">
        <f t="shared" si="12"/>
        <v>#DIV/0!</v>
      </c>
    </row>
    <row r="16" spans="1:53" s="182" customFormat="1">
      <c r="B16" s="786"/>
      <c r="C16" s="217" t="s">
        <v>98</v>
      </c>
      <c r="D16" s="606">
        <v>4257.12</v>
      </c>
      <c r="E16" s="607">
        <v>4330.1400000000003</v>
      </c>
      <c r="F16" s="220"/>
      <c r="G16" s="220"/>
      <c r="H16" s="220"/>
      <c r="I16" s="220"/>
      <c r="J16" s="221"/>
      <c r="K16" s="221"/>
      <c r="L16" s="221"/>
      <c r="M16" s="221"/>
      <c r="N16" s="221"/>
      <c r="O16" s="221"/>
      <c r="P16" s="221"/>
      <c r="Q16" s="222"/>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X16" s="221"/>
      <c r="AY16" s="221"/>
      <c r="AZ16" s="221"/>
      <c r="BA16" s="216"/>
    </row>
    <row r="17" spans="2:53" s="182" customFormat="1">
      <c r="B17" s="787"/>
      <c r="C17" s="223" t="s">
        <v>99</v>
      </c>
      <c r="D17" s="608">
        <v>0.13575107410669007</v>
      </c>
      <c r="E17" s="224">
        <v>1.7152441086932146E-2</v>
      </c>
      <c r="F17" s="225">
        <f>(F16/E16)-1</f>
        <v>-1</v>
      </c>
      <c r="G17" s="225" t="e">
        <f t="shared" ref="G17:O17" si="13">(G16/F16)-1</f>
        <v>#DIV/0!</v>
      </c>
      <c r="H17" s="225" t="e">
        <f t="shared" si="13"/>
        <v>#DIV/0!</v>
      </c>
      <c r="I17" s="225" t="e">
        <f t="shared" si="13"/>
        <v>#DIV/0!</v>
      </c>
      <c r="J17" s="225" t="e">
        <f t="shared" si="13"/>
        <v>#DIV/0!</v>
      </c>
      <c r="K17" s="225" t="e">
        <f t="shared" si="13"/>
        <v>#DIV/0!</v>
      </c>
      <c r="L17" s="225" t="e">
        <f t="shared" si="13"/>
        <v>#DIV/0!</v>
      </c>
      <c r="M17" s="225" t="e">
        <f t="shared" si="13"/>
        <v>#DIV/0!</v>
      </c>
      <c r="N17" s="225" t="e">
        <f t="shared" si="13"/>
        <v>#DIV/0!</v>
      </c>
      <c r="O17" s="225" t="e">
        <f t="shared" si="13"/>
        <v>#DIV/0!</v>
      </c>
      <c r="P17" s="225" t="e">
        <f>(P16/O16)-1</f>
        <v>#DIV/0!</v>
      </c>
      <c r="Q17" s="226" t="e">
        <f>(Q16/P16)-1</f>
        <v>#DIV/0!</v>
      </c>
      <c r="R17" s="225" t="e">
        <f t="shared" ref="R17:BA17" si="14">Q17</f>
        <v>#DIV/0!</v>
      </c>
      <c r="S17" s="225" t="e">
        <f t="shared" si="14"/>
        <v>#DIV/0!</v>
      </c>
      <c r="T17" s="225" t="e">
        <f t="shared" si="14"/>
        <v>#DIV/0!</v>
      </c>
      <c r="U17" s="225" t="e">
        <f t="shared" si="14"/>
        <v>#DIV/0!</v>
      </c>
      <c r="V17" s="225" t="e">
        <f t="shared" si="14"/>
        <v>#DIV/0!</v>
      </c>
      <c r="W17" s="225" t="e">
        <f t="shared" si="14"/>
        <v>#DIV/0!</v>
      </c>
      <c r="X17" s="225" t="e">
        <f t="shared" si="14"/>
        <v>#DIV/0!</v>
      </c>
      <c r="Y17" s="225" t="e">
        <f t="shared" si="14"/>
        <v>#DIV/0!</v>
      </c>
      <c r="Z17" s="225" t="e">
        <f t="shared" si="14"/>
        <v>#DIV/0!</v>
      </c>
      <c r="AA17" s="225" t="e">
        <f t="shared" si="14"/>
        <v>#DIV/0!</v>
      </c>
      <c r="AB17" s="225" t="e">
        <f t="shared" si="14"/>
        <v>#DIV/0!</v>
      </c>
      <c r="AC17" s="225" t="e">
        <f t="shared" si="14"/>
        <v>#DIV/0!</v>
      </c>
      <c r="AD17" s="225" t="e">
        <f t="shared" si="14"/>
        <v>#DIV/0!</v>
      </c>
      <c r="AE17" s="225" t="e">
        <f t="shared" si="14"/>
        <v>#DIV/0!</v>
      </c>
      <c r="AF17" s="225" t="e">
        <f t="shared" si="14"/>
        <v>#DIV/0!</v>
      </c>
      <c r="AG17" s="225" t="e">
        <f t="shared" si="14"/>
        <v>#DIV/0!</v>
      </c>
      <c r="AH17" s="225" t="e">
        <f t="shared" si="14"/>
        <v>#DIV/0!</v>
      </c>
      <c r="AI17" s="225" t="e">
        <f t="shared" si="14"/>
        <v>#DIV/0!</v>
      </c>
      <c r="AJ17" s="225" t="e">
        <f t="shared" si="14"/>
        <v>#DIV/0!</v>
      </c>
      <c r="AK17" s="225" t="e">
        <f t="shared" si="14"/>
        <v>#DIV/0!</v>
      </c>
      <c r="AL17" s="225" t="e">
        <f t="shared" si="14"/>
        <v>#DIV/0!</v>
      </c>
      <c r="AM17" s="225" t="e">
        <f t="shared" si="14"/>
        <v>#DIV/0!</v>
      </c>
      <c r="AN17" s="225" t="e">
        <f t="shared" si="14"/>
        <v>#DIV/0!</v>
      </c>
      <c r="AO17" s="225" t="e">
        <f t="shared" si="14"/>
        <v>#DIV/0!</v>
      </c>
      <c r="AP17" s="225" t="e">
        <f t="shared" si="14"/>
        <v>#DIV/0!</v>
      </c>
      <c r="AQ17" s="225" t="e">
        <f t="shared" si="14"/>
        <v>#DIV/0!</v>
      </c>
      <c r="AR17" s="225" t="e">
        <f t="shared" si="14"/>
        <v>#DIV/0!</v>
      </c>
      <c r="AS17" s="225" t="e">
        <f t="shared" si="14"/>
        <v>#DIV/0!</v>
      </c>
      <c r="AT17" s="225" t="e">
        <f t="shared" si="14"/>
        <v>#DIV/0!</v>
      </c>
      <c r="AU17" s="225" t="e">
        <f t="shared" si="14"/>
        <v>#DIV/0!</v>
      </c>
      <c r="AV17" s="225" t="e">
        <f t="shared" si="14"/>
        <v>#DIV/0!</v>
      </c>
      <c r="AW17" s="225" t="e">
        <f t="shared" si="14"/>
        <v>#DIV/0!</v>
      </c>
      <c r="AX17" s="225" t="e">
        <f t="shared" si="14"/>
        <v>#DIV/0!</v>
      </c>
      <c r="AY17" s="225" t="e">
        <f t="shared" si="14"/>
        <v>#DIV/0!</v>
      </c>
      <c r="AZ17" s="225" t="e">
        <f t="shared" si="14"/>
        <v>#DIV/0!</v>
      </c>
      <c r="BA17" s="226" t="e">
        <f t="shared" si="14"/>
        <v>#DIV/0!</v>
      </c>
    </row>
    <row r="18" spans="2:53" s="182" customFormat="1" ht="16">
      <c r="B18" s="785" t="s">
        <v>100</v>
      </c>
      <c r="C18" s="227" t="s">
        <v>34</v>
      </c>
      <c r="D18" s="609">
        <v>1</v>
      </c>
      <c r="E18" s="228">
        <v>1</v>
      </c>
      <c r="F18" s="229">
        <f t="shared" ref="F18:Q18" si="15">F19+F20</f>
        <v>0</v>
      </c>
      <c r="G18" s="229">
        <f t="shared" si="15"/>
        <v>0</v>
      </c>
      <c r="H18" s="229">
        <f t="shared" si="15"/>
        <v>0</v>
      </c>
      <c r="I18" s="229">
        <f t="shared" si="15"/>
        <v>0</v>
      </c>
      <c r="J18" s="229">
        <f t="shared" si="15"/>
        <v>0</v>
      </c>
      <c r="K18" s="229">
        <f t="shared" si="15"/>
        <v>0</v>
      </c>
      <c r="L18" s="229">
        <f t="shared" si="15"/>
        <v>0</v>
      </c>
      <c r="M18" s="229">
        <f t="shared" si="15"/>
        <v>0</v>
      </c>
      <c r="N18" s="229">
        <f t="shared" si="15"/>
        <v>0</v>
      </c>
      <c r="O18" s="229">
        <f t="shared" si="15"/>
        <v>0</v>
      </c>
      <c r="P18" s="229">
        <f t="shared" si="15"/>
        <v>0</v>
      </c>
      <c r="Q18" s="230">
        <f t="shared" si="15"/>
        <v>0</v>
      </c>
    </row>
    <row r="19" spans="2:53" s="182" customFormat="1" ht="16">
      <c r="B19" s="786"/>
      <c r="C19" s="231" t="s">
        <v>101</v>
      </c>
      <c r="D19" s="610">
        <v>0.57999999999999996</v>
      </c>
      <c r="E19" s="232">
        <v>0.67</v>
      </c>
      <c r="F19" s="233"/>
      <c r="G19" s="233"/>
      <c r="H19" s="233"/>
      <c r="I19" s="233"/>
      <c r="J19" s="233"/>
      <c r="K19" s="233"/>
      <c r="L19" s="233"/>
      <c r="M19" s="233"/>
      <c r="N19" s="233"/>
      <c r="O19" s="233"/>
      <c r="P19" s="233"/>
      <c r="Q19" s="238"/>
      <c r="S19" s="234"/>
      <c r="T19" s="234"/>
      <c r="U19" s="234"/>
      <c r="V19" s="234"/>
      <c r="W19" s="234"/>
      <c r="X19" s="234"/>
      <c r="Y19" s="234"/>
      <c r="Z19" s="234"/>
      <c r="AA19" s="234"/>
      <c r="AB19" s="234"/>
      <c r="AC19" s="234"/>
      <c r="AD19" s="234"/>
    </row>
    <row r="20" spans="2:53" s="182" customFormat="1" ht="16">
      <c r="B20" s="787"/>
      <c r="C20" s="199" t="s">
        <v>102</v>
      </c>
      <c r="D20" s="601">
        <v>0.42</v>
      </c>
      <c r="E20" s="200">
        <v>0.32999999999999996</v>
      </c>
      <c r="F20" s="235"/>
      <c r="G20" s="235"/>
      <c r="H20" s="235"/>
      <c r="I20" s="235"/>
      <c r="J20" s="235"/>
      <c r="K20" s="235"/>
      <c r="L20" s="235"/>
      <c r="M20" s="235"/>
      <c r="N20" s="235"/>
      <c r="O20" s="235"/>
      <c r="P20" s="235"/>
      <c r="Q20" s="266"/>
    </row>
    <row r="21" spans="2:53" s="182" customFormat="1" ht="16">
      <c r="B21" s="785" t="s">
        <v>103</v>
      </c>
      <c r="C21" s="227" t="s">
        <v>104</v>
      </c>
      <c r="D21" s="609">
        <v>1</v>
      </c>
      <c r="E21" s="228">
        <v>1</v>
      </c>
      <c r="F21" s="229">
        <f t="shared" ref="F21:Q21" si="16">F22+F23</f>
        <v>0</v>
      </c>
      <c r="G21" s="229">
        <f t="shared" si="16"/>
        <v>0</v>
      </c>
      <c r="H21" s="229">
        <f t="shared" si="16"/>
        <v>0</v>
      </c>
      <c r="I21" s="229">
        <f t="shared" si="16"/>
        <v>0</v>
      </c>
      <c r="J21" s="229">
        <f t="shared" si="16"/>
        <v>0</v>
      </c>
      <c r="K21" s="229">
        <f t="shared" si="16"/>
        <v>0</v>
      </c>
      <c r="L21" s="229">
        <f t="shared" si="16"/>
        <v>0</v>
      </c>
      <c r="M21" s="229">
        <f t="shared" si="16"/>
        <v>0</v>
      </c>
      <c r="N21" s="229">
        <f t="shared" si="16"/>
        <v>0</v>
      </c>
      <c r="O21" s="229">
        <f t="shared" si="16"/>
        <v>0</v>
      </c>
      <c r="P21" s="229">
        <f t="shared" si="16"/>
        <v>0</v>
      </c>
      <c r="Q21" s="230">
        <f t="shared" si="16"/>
        <v>0</v>
      </c>
    </row>
    <row r="22" spans="2:53" s="182" customFormat="1" ht="16">
      <c r="B22" s="786"/>
      <c r="C22" s="231" t="s">
        <v>105</v>
      </c>
      <c r="D22" s="610">
        <v>0.8</v>
      </c>
      <c r="E22" s="232">
        <v>0.78010000000000002</v>
      </c>
      <c r="F22" s="233"/>
      <c r="G22" s="233"/>
      <c r="H22" s="233"/>
      <c r="I22" s="233"/>
      <c r="J22" s="233"/>
      <c r="K22" s="233"/>
      <c r="L22" s="233"/>
      <c r="M22" s="233"/>
      <c r="N22" s="233"/>
      <c r="O22" s="233"/>
      <c r="P22" s="233"/>
      <c r="Q22" s="238"/>
    </row>
    <row r="23" spans="2:53" s="182" customFormat="1" ht="16">
      <c r="B23" s="786"/>
      <c r="C23" s="231" t="s">
        <v>79</v>
      </c>
      <c r="D23" s="610">
        <v>0.2</v>
      </c>
      <c r="E23" s="232">
        <v>0.21990000000000001</v>
      </c>
      <c r="F23" s="233"/>
      <c r="G23" s="233"/>
      <c r="H23" s="233"/>
      <c r="I23" s="233"/>
      <c r="J23" s="233"/>
      <c r="K23" s="233"/>
      <c r="L23" s="233"/>
      <c r="M23" s="233"/>
      <c r="N23" s="233"/>
      <c r="O23" s="233"/>
      <c r="P23" s="233"/>
      <c r="Q23" s="238"/>
    </row>
    <row r="24" spans="2:53" s="182" customFormat="1" ht="16">
      <c r="B24" s="785" t="s">
        <v>106</v>
      </c>
      <c r="C24" s="227" t="s">
        <v>107</v>
      </c>
      <c r="D24" s="611"/>
      <c r="E24" s="236"/>
      <c r="F24" s="229">
        <f t="shared" ref="F24:P24" si="17">SUM(F25:F28)</f>
        <v>0</v>
      </c>
      <c r="G24" s="229">
        <f t="shared" si="17"/>
        <v>0</v>
      </c>
      <c r="H24" s="229">
        <f t="shared" si="17"/>
        <v>0</v>
      </c>
      <c r="I24" s="229">
        <f t="shared" si="17"/>
        <v>0</v>
      </c>
      <c r="J24" s="229">
        <f t="shared" si="17"/>
        <v>0</v>
      </c>
      <c r="K24" s="229">
        <f t="shared" si="17"/>
        <v>0</v>
      </c>
      <c r="L24" s="229">
        <f t="shared" si="17"/>
        <v>0</v>
      </c>
      <c r="M24" s="229">
        <f t="shared" si="17"/>
        <v>0</v>
      </c>
      <c r="N24" s="229">
        <f t="shared" si="17"/>
        <v>0</v>
      </c>
      <c r="O24" s="229">
        <f t="shared" si="17"/>
        <v>0</v>
      </c>
      <c r="P24" s="229">
        <f t="shared" si="17"/>
        <v>0</v>
      </c>
      <c r="Q24" s="230">
        <f t="shared" ref="Q24" si="18">SUM(Q25:Q28)</f>
        <v>0</v>
      </c>
    </row>
    <row r="25" spans="2:53" s="182" customFormat="1">
      <c r="B25" s="786"/>
      <c r="C25" s="237">
        <v>5</v>
      </c>
      <c r="D25" s="610"/>
      <c r="E25" s="232"/>
      <c r="F25" s="233"/>
      <c r="G25" s="233"/>
      <c r="H25" s="233"/>
      <c r="I25" s="233"/>
      <c r="J25" s="233"/>
      <c r="K25" s="233"/>
      <c r="L25" s="233"/>
      <c r="M25" s="233"/>
      <c r="N25" s="233"/>
      <c r="O25" s="233"/>
      <c r="P25" s="233"/>
      <c r="Q25" s="238"/>
    </row>
    <row r="26" spans="2:53" s="182" customFormat="1">
      <c r="B26" s="786"/>
      <c r="C26" s="237">
        <v>10</v>
      </c>
      <c r="D26" s="610"/>
      <c r="E26" s="232"/>
      <c r="F26" s="233"/>
      <c r="G26" s="233"/>
      <c r="H26" s="233"/>
      <c r="I26" s="233"/>
      <c r="J26" s="233"/>
      <c r="K26" s="233"/>
      <c r="L26" s="233"/>
      <c r="M26" s="233"/>
      <c r="N26" s="233"/>
      <c r="O26" s="233"/>
      <c r="P26" s="233"/>
      <c r="Q26" s="238"/>
      <c r="S26" s="239"/>
      <c r="T26" s="239"/>
      <c r="U26" s="239"/>
      <c r="V26" s="239"/>
      <c r="W26" s="239"/>
      <c r="X26" s="239"/>
      <c r="Y26" s="239"/>
      <c r="Z26" s="239"/>
      <c r="AA26" s="239"/>
      <c r="AB26" s="239"/>
      <c r="AC26" s="239"/>
      <c r="AD26" s="239"/>
    </row>
    <row r="27" spans="2:53" s="182" customFormat="1">
      <c r="B27" s="786"/>
      <c r="C27" s="237">
        <v>15</v>
      </c>
      <c r="D27" s="610"/>
      <c r="E27" s="232"/>
      <c r="F27" s="233"/>
      <c r="G27" s="233"/>
      <c r="H27" s="233"/>
      <c r="I27" s="233"/>
      <c r="J27" s="233"/>
      <c r="K27" s="233"/>
      <c r="L27" s="233"/>
      <c r="M27" s="233"/>
      <c r="N27" s="233"/>
      <c r="O27" s="233"/>
      <c r="P27" s="233"/>
      <c r="Q27" s="238"/>
      <c r="S27" s="239"/>
      <c r="T27" s="239"/>
      <c r="U27" s="239"/>
      <c r="V27" s="239"/>
      <c r="W27" s="239"/>
      <c r="X27" s="239"/>
      <c r="Y27" s="239"/>
      <c r="Z27" s="239"/>
      <c r="AA27" s="239"/>
      <c r="AB27" s="239"/>
      <c r="AC27" s="239"/>
      <c r="AD27" s="239"/>
    </row>
    <row r="28" spans="2:53" s="182" customFormat="1">
      <c r="B28" s="787"/>
      <c r="C28" s="240">
        <v>30</v>
      </c>
      <c r="D28" s="601"/>
      <c r="E28" s="200"/>
      <c r="F28" s="235"/>
      <c r="G28" s="235"/>
      <c r="H28" s="235"/>
      <c r="I28" s="235"/>
      <c r="J28" s="235"/>
      <c r="K28" s="235"/>
      <c r="L28" s="235"/>
      <c r="M28" s="235"/>
      <c r="N28" s="235"/>
      <c r="O28" s="235"/>
      <c r="P28" s="235"/>
      <c r="Q28" s="266"/>
      <c r="S28" s="239"/>
      <c r="T28" s="239"/>
      <c r="U28" s="239"/>
      <c r="V28" s="239"/>
      <c r="W28" s="239"/>
      <c r="X28" s="239"/>
      <c r="Y28" s="239"/>
      <c r="Z28" s="239"/>
      <c r="AA28" s="239"/>
      <c r="AB28" s="239"/>
      <c r="AC28" s="239"/>
      <c r="AD28" s="239"/>
    </row>
    <row r="29" spans="2:53" s="244" customFormat="1">
      <c r="B29" s="785" t="s">
        <v>108</v>
      </c>
      <c r="C29" s="241" t="s">
        <v>109</v>
      </c>
      <c r="D29" s="612"/>
      <c r="E29" s="242"/>
      <c r="F29" s="243"/>
      <c r="G29" s="243"/>
      <c r="H29" s="243"/>
      <c r="I29" s="243"/>
      <c r="J29" s="243"/>
      <c r="K29" s="243"/>
      <c r="L29" s="243"/>
      <c r="M29" s="243"/>
      <c r="N29" s="243"/>
      <c r="O29" s="243"/>
      <c r="P29" s="243"/>
      <c r="Q29" s="254"/>
    </row>
    <row r="30" spans="2:53" s="182" customFormat="1">
      <c r="B30" s="786"/>
      <c r="C30" s="217" t="s">
        <v>110</v>
      </c>
      <c r="D30" s="353"/>
      <c r="F30" s="613"/>
      <c r="G30" s="613"/>
      <c r="H30" s="613"/>
      <c r="I30" s="613"/>
      <c r="J30" s="613"/>
      <c r="K30" s="613"/>
      <c r="L30" s="613"/>
      <c r="M30" s="613"/>
      <c r="N30" s="613"/>
      <c r="O30" s="613"/>
      <c r="P30" s="613"/>
      <c r="Q30" s="261"/>
    </row>
    <row r="31" spans="2:53" s="182" customFormat="1">
      <c r="B31" s="786"/>
      <c r="C31" s="217" t="s">
        <v>111</v>
      </c>
      <c r="D31" s="353"/>
      <c r="F31" s="613"/>
      <c r="G31" s="613"/>
      <c r="H31" s="613"/>
      <c r="I31" s="613"/>
      <c r="J31" s="613"/>
      <c r="K31" s="613"/>
      <c r="L31" s="613"/>
      <c r="M31" s="613"/>
      <c r="N31" s="613"/>
      <c r="O31" s="613"/>
      <c r="P31" s="613"/>
      <c r="Q31" s="261"/>
    </row>
    <row r="32" spans="2:53" s="182" customFormat="1">
      <c r="B32" s="786"/>
      <c r="C32" s="217" t="s">
        <v>112</v>
      </c>
      <c r="D32" s="353"/>
      <c r="F32" s="245">
        <f>E32</f>
        <v>0</v>
      </c>
      <c r="G32" s="245">
        <f t="shared" ref="G32:Q32" si="19">F32</f>
        <v>0</v>
      </c>
      <c r="H32" s="245">
        <f t="shared" si="19"/>
        <v>0</v>
      </c>
      <c r="I32" s="245">
        <f t="shared" si="19"/>
        <v>0</v>
      </c>
      <c r="J32" s="245">
        <f t="shared" si="19"/>
        <v>0</v>
      </c>
      <c r="K32" s="245">
        <f t="shared" si="19"/>
        <v>0</v>
      </c>
      <c r="L32" s="245">
        <f t="shared" si="19"/>
        <v>0</v>
      </c>
      <c r="M32" s="245">
        <f t="shared" si="19"/>
        <v>0</v>
      </c>
      <c r="N32" s="245">
        <f t="shared" si="19"/>
        <v>0</v>
      </c>
      <c r="O32" s="245">
        <f t="shared" si="19"/>
        <v>0</v>
      </c>
      <c r="P32" s="245">
        <f t="shared" si="19"/>
        <v>0</v>
      </c>
      <c r="Q32" s="257">
        <f t="shared" si="19"/>
        <v>0</v>
      </c>
    </row>
    <row r="33" spans="2:30" s="245" customFormat="1">
      <c r="B33" s="786"/>
      <c r="C33" s="246" t="s">
        <v>113</v>
      </c>
      <c r="D33" s="353"/>
      <c r="E33" s="182"/>
      <c r="F33" s="614"/>
      <c r="G33" s="614"/>
      <c r="H33" s="614"/>
      <c r="I33" s="614"/>
      <c r="J33" s="614"/>
      <c r="K33" s="614"/>
      <c r="L33" s="614"/>
      <c r="M33" s="614"/>
      <c r="N33" s="614"/>
      <c r="O33" s="614"/>
      <c r="P33" s="614"/>
      <c r="Q33" s="247"/>
    </row>
    <row r="34" spans="2:30" s="182" customFormat="1">
      <c r="B34" s="786"/>
      <c r="C34" s="217" t="s">
        <v>110</v>
      </c>
      <c r="D34" s="353"/>
      <c r="E34" s="248"/>
      <c r="F34" s="613"/>
      <c r="G34" s="613"/>
      <c r="H34" s="613"/>
      <c r="I34" s="613"/>
      <c r="J34" s="613"/>
      <c r="K34" s="613"/>
      <c r="L34" s="613"/>
      <c r="M34" s="613"/>
      <c r="N34" s="613"/>
      <c r="O34" s="613"/>
      <c r="P34" s="613"/>
      <c r="Q34" s="261"/>
      <c r="S34" s="239"/>
      <c r="T34" s="239"/>
      <c r="U34" s="239"/>
      <c r="V34" s="239"/>
      <c r="W34" s="239"/>
      <c r="X34" s="239"/>
      <c r="Y34" s="239"/>
      <c r="Z34" s="239"/>
      <c r="AA34" s="239"/>
      <c r="AB34" s="239"/>
      <c r="AC34" s="239"/>
      <c r="AD34" s="239"/>
    </row>
    <row r="35" spans="2:30" s="182" customFormat="1">
      <c r="B35" s="786"/>
      <c r="C35" s="217" t="s">
        <v>111</v>
      </c>
      <c r="D35" s="353"/>
      <c r="E35" s="248"/>
      <c r="F35" s="613"/>
      <c r="G35" s="613"/>
      <c r="H35" s="613"/>
      <c r="I35" s="613"/>
      <c r="J35" s="613"/>
      <c r="K35" s="613"/>
      <c r="L35" s="613"/>
      <c r="M35" s="613"/>
      <c r="N35" s="613"/>
      <c r="O35" s="613"/>
      <c r="P35" s="613"/>
      <c r="Q35" s="261"/>
      <c r="S35" s="239"/>
      <c r="T35" s="239"/>
      <c r="U35" s="239"/>
      <c r="V35" s="239"/>
      <c r="W35" s="239"/>
      <c r="X35" s="239"/>
      <c r="Y35" s="239"/>
      <c r="Z35" s="239"/>
      <c r="AA35" s="239"/>
      <c r="AB35" s="239"/>
      <c r="AC35" s="239"/>
      <c r="AD35" s="239"/>
    </row>
    <row r="36" spans="2:30" s="182" customFormat="1">
      <c r="B36" s="786"/>
      <c r="C36" s="217" t="s">
        <v>112</v>
      </c>
      <c r="D36" s="353"/>
      <c r="F36" s="182">
        <v>10</v>
      </c>
      <c r="G36" s="182">
        <v>10</v>
      </c>
      <c r="H36" s="182">
        <v>10</v>
      </c>
      <c r="I36" s="182">
        <v>10</v>
      </c>
      <c r="J36" s="182">
        <v>10</v>
      </c>
      <c r="K36" s="182">
        <v>10</v>
      </c>
      <c r="L36" s="182">
        <v>10</v>
      </c>
      <c r="M36" s="182">
        <v>10</v>
      </c>
      <c r="N36" s="182">
        <v>10</v>
      </c>
      <c r="O36" s="182">
        <v>10</v>
      </c>
      <c r="P36" s="182">
        <v>10</v>
      </c>
      <c r="Q36" s="262">
        <v>10</v>
      </c>
    </row>
    <row r="37" spans="2:30" s="245" customFormat="1">
      <c r="B37" s="786"/>
      <c r="C37" s="246" t="s">
        <v>114</v>
      </c>
      <c r="D37" s="353"/>
      <c r="E37" s="182"/>
      <c r="F37" s="258"/>
      <c r="G37" s="258"/>
      <c r="H37" s="258"/>
      <c r="I37" s="258"/>
      <c r="J37" s="258"/>
      <c r="K37" s="258"/>
      <c r="L37" s="258"/>
      <c r="M37" s="258"/>
      <c r="N37" s="258"/>
      <c r="O37" s="258"/>
      <c r="P37" s="258"/>
      <c r="Q37" s="259"/>
    </row>
    <row r="38" spans="2:30" s="182" customFormat="1">
      <c r="B38" s="786"/>
      <c r="C38" s="217" t="s">
        <v>110</v>
      </c>
      <c r="D38" s="353"/>
      <c r="E38" s="248"/>
      <c r="F38" s="613"/>
      <c r="G38" s="613"/>
      <c r="H38" s="613"/>
      <c r="I38" s="613"/>
      <c r="J38" s="613"/>
      <c r="K38" s="613"/>
      <c r="L38" s="613"/>
      <c r="M38" s="613"/>
      <c r="N38" s="613"/>
      <c r="O38" s="613"/>
      <c r="P38" s="613"/>
      <c r="Q38" s="261"/>
      <c r="S38" s="239"/>
      <c r="T38" s="239"/>
      <c r="U38" s="239"/>
      <c r="V38" s="239"/>
      <c r="W38" s="239"/>
      <c r="X38" s="239"/>
      <c r="Y38" s="239"/>
      <c r="Z38" s="239"/>
      <c r="AA38" s="239"/>
      <c r="AB38" s="239"/>
      <c r="AC38" s="239"/>
      <c r="AD38" s="239"/>
    </row>
    <row r="39" spans="2:30" s="182" customFormat="1">
      <c r="B39" s="786"/>
      <c r="C39" s="217" t="s">
        <v>111</v>
      </c>
      <c r="D39" s="353"/>
      <c r="E39" s="248"/>
      <c r="F39" s="613"/>
      <c r="G39" s="613"/>
      <c r="H39" s="613"/>
      <c r="I39" s="613"/>
      <c r="J39" s="613"/>
      <c r="K39" s="613"/>
      <c r="L39" s="613"/>
      <c r="M39" s="613"/>
      <c r="N39" s="613"/>
      <c r="O39" s="613"/>
      <c r="P39" s="613"/>
      <c r="Q39" s="261"/>
      <c r="S39" s="239"/>
      <c r="T39" s="239"/>
      <c r="U39" s="239"/>
      <c r="V39" s="239"/>
      <c r="W39" s="239"/>
      <c r="X39" s="239"/>
      <c r="Y39" s="239"/>
      <c r="Z39" s="239"/>
      <c r="AA39" s="239"/>
      <c r="AB39" s="239"/>
      <c r="AC39" s="239"/>
      <c r="AD39" s="239"/>
    </row>
    <row r="40" spans="2:30" s="182" customFormat="1">
      <c r="B40" s="786"/>
      <c r="C40" s="217" t="s">
        <v>112</v>
      </c>
      <c r="D40" s="353"/>
      <c r="F40" s="182">
        <v>15</v>
      </c>
      <c r="G40" s="182">
        <v>15</v>
      </c>
      <c r="H40" s="182">
        <v>15</v>
      </c>
      <c r="I40" s="182">
        <v>15</v>
      </c>
      <c r="J40" s="182">
        <v>15</v>
      </c>
      <c r="K40" s="182">
        <v>15</v>
      </c>
      <c r="L40" s="182">
        <v>15</v>
      </c>
      <c r="M40" s="182">
        <v>15</v>
      </c>
      <c r="N40" s="182">
        <v>15</v>
      </c>
      <c r="O40" s="182">
        <v>15</v>
      </c>
      <c r="P40" s="182">
        <v>15</v>
      </c>
      <c r="Q40" s="262">
        <v>15</v>
      </c>
    </row>
    <row r="41" spans="2:30" s="245" customFormat="1">
      <c r="B41" s="786"/>
      <c r="C41" s="246" t="s">
        <v>115</v>
      </c>
      <c r="D41" s="353"/>
      <c r="E41" s="248"/>
      <c r="F41" s="258"/>
      <c r="G41" s="258"/>
      <c r="H41" s="258"/>
      <c r="I41" s="258"/>
      <c r="J41" s="258"/>
      <c r="K41" s="258"/>
      <c r="L41" s="258"/>
      <c r="M41" s="258"/>
      <c r="N41" s="258"/>
      <c r="O41" s="258"/>
      <c r="P41" s="258"/>
      <c r="Q41" s="259"/>
    </row>
    <row r="42" spans="2:30" s="182" customFormat="1">
      <c r="B42" s="786"/>
      <c r="C42" s="217" t="s">
        <v>110</v>
      </c>
      <c r="D42" s="353"/>
      <c r="E42" s="248"/>
      <c r="F42" s="613"/>
      <c r="G42" s="613"/>
      <c r="H42" s="613"/>
      <c r="I42" s="613"/>
      <c r="J42" s="613"/>
      <c r="K42" s="613"/>
      <c r="L42" s="613"/>
      <c r="M42" s="613"/>
      <c r="N42" s="613"/>
      <c r="O42" s="613"/>
      <c r="P42" s="613"/>
      <c r="Q42" s="261"/>
      <c r="S42" s="239"/>
      <c r="T42" s="239"/>
      <c r="U42" s="239"/>
      <c r="V42" s="239"/>
      <c r="W42" s="239"/>
      <c r="X42" s="239"/>
      <c r="Y42" s="239"/>
      <c r="Z42" s="239"/>
      <c r="AA42" s="239"/>
      <c r="AB42" s="239"/>
      <c r="AC42" s="239"/>
      <c r="AD42" s="239"/>
    </row>
    <row r="43" spans="2:30" s="182" customFormat="1">
      <c r="B43" s="786"/>
      <c r="C43" s="217" t="s">
        <v>111</v>
      </c>
      <c r="D43" s="353"/>
      <c r="E43" s="248"/>
      <c r="F43" s="613"/>
      <c r="G43" s="613"/>
      <c r="H43" s="613"/>
      <c r="I43" s="613"/>
      <c r="J43" s="613"/>
      <c r="K43" s="613"/>
      <c r="L43" s="613"/>
      <c r="M43" s="613"/>
      <c r="N43" s="613"/>
      <c r="O43" s="613"/>
      <c r="P43" s="613"/>
      <c r="Q43" s="261"/>
      <c r="S43" s="239"/>
      <c r="T43" s="239"/>
      <c r="U43" s="239"/>
      <c r="V43" s="239"/>
      <c r="W43" s="239"/>
      <c r="X43" s="239"/>
      <c r="Y43" s="239"/>
      <c r="Z43" s="239"/>
      <c r="AA43" s="239"/>
      <c r="AB43" s="239"/>
      <c r="AC43" s="239"/>
      <c r="AD43" s="239"/>
    </row>
    <row r="44" spans="2:30" s="182" customFormat="1">
      <c r="B44" s="787"/>
      <c r="C44" s="223" t="s">
        <v>112</v>
      </c>
      <c r="D44" s="353"/>
      <c r="E44" s="249"/>
      <c r="F44" s="249">
        <v>30</v>
      </c>
      <c r="G44" s="249">
        <v>30</v>
      </c>
      <c r="H44" s="249">
        <v>30</v>
      </c>
      <c r="I44" s="249">
        <v>30</v>
      </c>
      <c r="J44" s="249">
        <v>30</v>
      </c>
      <c r="K44" s="249">
        <v>30</v>
      </c>
      <c r="L44" s="249">
        <v>30</v>
      </c>
      <c r="M44" s="249">
        <v>30</v>
      </c>
      <c r="N44" s="249">
        <v>30</v>
      </c>
      <c r="O44" s="249">
        <v>30</v>
      </c>
      <c r="P44" s="249">
        <v>30</v>
      </c>
      <c r="Q44" s="250">
        <v>30</v>
      </c>
    </row>
    <row r="45" spans="2:30" s="182" customFormat="1" ht="16">
      <c r="B45" s="785" t="s">
        <v>116</v>
      </c>
      <c r="C45" s="227" t="s">
        <v>107</v>
      </c>
      <c r="D45" s="611"/>
      <c r="E45" s="236"/>
      <c r="F45" s="229">
        <f t="shared" ref="F45:P45" si="20">SUM(F46:F49)</f>
        <v>0</v>
      </c>
      <c r="G45" s="229">
        <f t="shared" si="20"/>
        <v>0</v>
      </c>
      <c r="H45" s="229">
        <f t="shared" si="20"/>
        <v>0</v>
      </c>
      <c r="I45" s="229">
        <f t="shared" si="20"/>
        <v>0</v>
      </c>
      <c r="J45" s="229">
        <f t="shared" si="20"/>
        <v>0</v>
      </c>
      <c r="K45" s="229">
        <f t="shared" si="20"/>
        <v>0</v>
      </c>
      <c r="L45" s="229">
        <f t="shared" si="20"/>
        <v>0</v>
      </c>
      <c r="M45" s="229">
        <f t="shared" si="20"/>
        <v>0</v>
      </c>
      <c r="N45" s="229">
        <f t="shared" si="20"/>
        <v>0</v>
      </c>
      <c r="O45" s="229">
        <f t="shared" si="20"/>
        <v>0</v>
      </c>
      <c r="P45" s="229">
        <f t="shared" si="20"/>
        <v>0</v>
      </c>
      <c r="Q45" s="230">
        <f t="shared" ref="Q45" si="21">SUM(Q46:Q49)</f>
        <v>0</v>
      </c>
    </row>
    <row r="46" spans="2:30" s="182" customFormat="1">
      <c r="B46" s="786"/>
      <c r="C46" s="237">
        <v>5</v>
      </c>
      <c r="D46" s="610"/>
      <c r="E46" s="232"/>
      <c r="F46" s="251"/>
      <c r="G46" s="251"/>
      <c r="H46" s="251"/>
      <c r="I46" s="251"/>
      <c r="J46" s="251"/>
      <c r="K46" s="251"/>
      <c r="L46" s="251"/>
      <c r="M46" s="251"/>
      <c r="N46" s="251"/>
      <c r="O46" s="251"/>
      <c r="P46" s="251"/>
      <c r="Q46" s="252"/>
    </row>
    <row r="47" spans="2:30" s="182" customFormat="1">
      <c r="B47" s="786"/>
      <c r="C47" s="237">
        <v>10</v>
      </c>
      <c r="D47" s="610"/>
      <c r="E47" s="232"/>
      <c r="F47" s="251"/>
      <c r="G47" s="251"/>
      <c r="H47" s="251"/>
      <c r="I47" s="251"/>
      <c r="J47" s="251"/>
      <c r="K47" s="251"/>
      <c r="L47" s="251"/>
      <c r="M47" s="251"/>
      <c r="N47" s="251"/>
      <c r="O47" s="251"/>
      <c r="P47" s="251"/>
      <c r="Q47" s="252"/>
      <c r="S47" s="239"/>
      <c r="T47" s="239"/>
      <c r="U47" s="239"/>
      <c r="V47" s="239"/>
      <c r="W47" s="239"/>
      <c r="X47" s="239"/>
      <c r="Y47" s="239"/>
      <c r="Z47" s="239"/>
      <c r="AA47" s="239"/>
      <c r="AB47" s="239"/>
      <c r="AC47" s="239"/>
      <c r="AD47" s="239"/>
    </row>
    <row r="48" spans="2:30" s="182" customFormat="1">
      <c r="B48" s="786"/>
      <c r="C48" s="237">
        <v>20</v>
      </c>
      <c r="D48" s="610"/>
      <c r="E48" s="232"/>
      <c r="F48" s="251"/>
      <c r="G48" s="251"/>
      <c r="H48" s="251"/>
      <c r="I48" s="251"/>
      <c r="J48" s="251"/>
      <c r="K48" s="251"/>
      <c r="L48" s="251"/>
      <c r="M48" s="251"/>
      <c r="N48" s="251"/>
      <c r="O48" s="251"/>
      <c r="P48" s="251"/>
      <c r="Q48" s="252"/>
      <c r="S48" s="239"/>
      <c r="T48" s="239"/>
      <c r="U48" s="239"/>
      <c r="V48" s="239"/>
      <c r="W48" s="239"/>
      <c r="X48" s="239"/>
      <c r="Y48" s="239"/>
      <c r="Z48" s="239"/>
      <c r="AA48" s="239"/>
      <c r="AB48" s="239"/>
      <c r="AC48" s="239"/>
      <c r="AD48" s="239"/>
    </row>
    <row r="49" spans="2:31" s="182" customFormat="1">
      <c r="B49" s="787"/>
      <c r="C49" s="240">
        <v>30</v>
      </c>
      <c r="D49" s="601"/>
      <c r="E49" s="200"/>
      <c r="F49" s="201"/>
      <c r="G49" s="201"/>
      <c r="H49" s="201"/>
      <c r="I49" s="201"/>
      <c r="J49" s="201"/>
      <c r="K49" s="201"/>
      <c r="L49" s="201"/>
      <c r="M49" s="201"/>
      <c r="N49" s="201"/>
      <c r="O49" s="201"/>
      <c r="P49" s="201"/>
      <c r="Q49" s="202"/>
      <c r="S49" s="239"/>
      <c r="T49" s="239"/>
      <c r="U49" s="239"/>
      <c r="V49" s="239"/>
      <c r="W49" s="239"/>
      <c r="X49" s="239"/>
      <c r="Y49" s="239"/>
      <c r="Z49" s="239"/>
      <c r="AA49" s="239"/>
      <c r="AB49" s="239"/>
      <c r="AC49" s="239"/>
      <c r="AD49" s="239"/>
    </row>
    <row r="50" spans="2:31" s="256" customFormat="1">
      <c r="B50" s="785" t="s">
        <v>117</v>
      </c>
      <c r="C50" s="241" t="s">
        <v>109</v>
      </c>
      <c r="D50" s="615"/>
      <c r="E50" s="253"/>
      <c r="F50" s="243"/>
      <c r="G50" s="243"/>
      <c r="H50" s="243"/>
      <c r="I50" s="243"/>
      <c r="J50" s="243"/>
      <c r="K50" s="243"/>
      <c r="L50" s="243"/>
      <c r="M50" s="243"/>
      <c r="N50" s="243"/>
      <c r="O50" s="243"/>
      <c r="P50" s="243"/>
      <c r="Q50" s="254"/>
      <c r="R50" s="255"/>
      <c r="S50" s="255"/>
      <c r="T50" s="255"/>
      <c r="U50" s="255"/>
      <c r="V50" s="255"/>
      <c r="W50" s="255"/>
    </row>
    <row r="51" spans="2:31" s="182" customFormat="1">
      <c r="B51" s="786"/>
      <c r="C51" s="217" t="s">
        <v>110</v>
      </c>
      <c r="D51" s="604"/>
      <c r="E51" s="605"/>
      <c r="F51" s="613"/>
      <c r="G51" s="613"/>
      <c r="H51" s="613"/>
      <c r="I51" s="613"/>
      <c r="J51" s="613"/>
      <c r="K51" s="613"/>
      <c r="L51" s="613"/>
      <c r="M51" s="613"/>
      <c r="N51" s="613"/>
      <c r="O51" s="613"/>
      <c r="P51" s="613"/>
      <c r="Q51" s="261"/>
      <c r="R51" s="248"/>
      <c r="S51" s="248"/>
      <c r="T51" s="248"/>
      <c r="U51" s="248"/>
      <c r="V51" s="248"/>
      <c r="W51" s="248"/>
    </row>
    <row r="52" spans="2:31" s="182" customFormat="1">
      <c r="B52" s="786"/>
      <c r="C52" s="217" t="s">
        <v>111</v>
      </c>
      <c r="D52" s="604"/>
      <c r="E52" s="605"/>
      <c r="F52" s="613"/>
      <c r="G52" s="613"/>
      <c r="H52" s="613"/>
      <c r="I52" s="613"/>
      <c r="J52" s="613"/>
      <c r="K52" s="613"/>
      <c r="L52" s="613"/>
      <c r="M52" s="613"/>
      <c r="N52" s="613"/>
      <c r="O52" s="613"/>
      <c r="P52" s="613"/>
      <c r="Q52" s="261"/>
      <c r="R52" s="248"/>
      <c r="S52" s="248"/>
      <c r="T52" s="248"/>
      <c r="U52" s="248"/>
      <c r="V52" s="248"/>
      <c r="W52" s="248"/>
    </row>
    <row r="53" spans="2:31" s="182" customFormat="1">
      <c r="B53" s="786"/>
      <c r="C53" s="217" t="s">
        <v>112</v>
      </c>
      <c r="D53" s="616"/>
      <c r="F53" s="245">
        <v>5</v>
      </c>
      <c r="G53" s="245">
        <v>5</v>
      </c>
      <c r="H53" s="245">
        <v>5</v>
      </c>
      <c r="I53" s="245">
        <v>5</v>
      </c>
      <c r="J53" s="245">
        <v>5</v>
      </c>
      <c r="K53" s="245">
        <v>5</v>
      </c>
      <c r="L53" s="245">
        <v>5</v>
      </c>
      <c r="M53" s="245">
        <v>5</v>
      </c>
      <c r="N53" s="245">
        <v>5</v>
      </c>
      <c r="O53" s="245">
        <v>5</v>
      </c>
      <c r="P53" s="245">
        <v>5</v>
      </c>
      <c r="Q53" s="257">
        <v>5</v>
      </c>
    </row>
    <row r="54" spans="2:31" s="245" customFormat="1">
      <c r="B54" s="786"/>
      <c r="C54" s="246" t="s">
        <v>113</v>
      </c>
      <c r="D54" s="617"/>
      <c r="E54" s="182"/>
      <c r="F54" s="258"/>
      <c r="G54" s="258"/>
      <c r="H54" s="258"/>
      <c r="I54" s="258"/>
      <c r="J54" s="258"/>
      <c r="K54" s="258"/>
      <c r="L54" s="258"/>
      <c r="M54" s="258"/>
      <c r="N54" s="258"/>
      <c r="O54" s="258"/>
      <c r="P54" s="258"/>
      <c r="Q54" s="259"/>
      <c r="R54" s="260"/>
    </row>
    <row r="55" spans="2:31" s="182" customFormat="1">
      <c r="B55" s="786"/>
      <c r="C55" s="217" t="s">
        <v>110</v>
      </c>
      <c r="D55" s="618"/>
      <c r="E55" s="248"/>
      <c r="F55" s="613"/>
      <c r="G55" s="613"/>
      <c r="H55" s="613"/>
      <c r="I55" s="613"/>
      <c r="J55" s="613"/>
      <c r="K55" s="613"/>
      <c r="L55" s="613"/>
      <c r="M55" s="613"/>
      <c r="N55" s="613"/>
      <c r="O55" s="613"/>
      <c r="P55" s="613"/>
      <c r="Q55" s="261"/>
      <c r="R55" s="248"/>
      <c r="S55" s="239"/>
      <c r="T55" s="239"/>
      <c r="U55" s="239"/>
      <c r="V55" s="239"/>
      <c r="W55" s="239"/>
      <c r="X55" s="239"/>
      <c r="Y55" s="239"/>
      <c r="Z55" s="239"/>
      <c r="AA55" s="239"/>
      <c r="AB55" s="239"/>
      <c r="AC55" s="239"/>
      <c r="AD55" s="239"/>
      <c r="AE55" s="239"/>
    </row>
    <row r="56" spans="2:31" s="182" customFormat="1">
      <c r="B56" s="786"/>
      <c r="C56" s="217" t="s">
        <v>111</v>
      </c>
      <c r="D56" s="604"/>
      <c r="E56" s="248"/>
      <c r="F56" s="613"/>
      <c r="G56" s="613"/>
      <c r="H56" s="613"/>
      <c r="I56" s="613"/>
      <c r="J56" s="613"/>
      <c r="K56" s="613"/>
      <c r="L56" s="613"/>
      <c r="M56" s="613"/>
      <c r="N56" s="613"/>
      <c r="O56" s="613"/>
      <c r="P56" s="613"/>
      <c r="Q56" s="261"/>
      <c r="R56" s="248"/>
      <c r="S56" s="239"/>
      <c r="T56" s="239"/>
      <c r="U56" s="239"/>
      <c r="V56" s="239"/>
      <c r="W56" s="239"/>
      <c r="X56" s="239"/>
      <c r="Y56" s="239"/>
      <c r="Z56" s="239"/>
      <c r="AA56" s="239"/>
      <c r="AB56" s="239"/>
      <c r="AC56" s="239"/>
      <c r="AD56" s="239"/>
      <c r="AE56" s="239"/>
    </row>
    <row r="57" spans="2:31" s="182" customFormat="1">
      <c r="B57" s="786"/>
      <c r="C57" s="217" t="s">
        <v>112</v>
      </c>
      <c r="D57" s="618"/>
      <c r="F57" s="182">
        <v>10</v>
      </c>
      <c r="G57" s="182">
        <v>10</v>
      </c>
      <c r="H57" s="182">
        <v>10</v>
      </c>
      <c r="I57" s="182">
        <v>10</v>
      </c>
      <c r="J57" s="182">
        <v>10</v>
      </c>
      <c r="K57" s="182">
        <v>10</v>
      </c>
      <c r="L57" s="182">
        <v>10</v>
      </c>
      <c r="M57" s="182">
        <v>10</v>
      </c>
      <c r="N57" s="182">
        <v>10</v>
      </c>
      <c r="O57" s="182">
        <v>10</v>
      </c>
      <c r="P57" s="182">
        <v>10</v>
      </c>
      <c r="Q57" s="262">
        <v>10</v>
      </c>
    </row>
    <row r="58" spans="2:31" s="245" customFormat="1">
      <c r="B58" s="786"/>
      <c r="C58" s="246" t="s">
        <v>118</v>
      </c>
      <c r="D58" s="617"/>
      <c r="E58" s="182"/>
      <c r="F58" s="258"/>
      <c r="G58" s="258"/>
      <c r="H58" s="258"/>
      <c r="I58" s="258"/>
      <c r="J58" s="258"/>
      <c r="K58" s="258"/>
      <c r="L58" s="258"/>
      <c r="M58" s="258"/>
      <c r="N58" s="258"/>
      <c r="O58" s="258"/>
      <c r="P58" s="258"/>
      <c r="Q58" s="259"/>
      <c r="R58" s="260"/>
    </row>
    <row r="59" spans="2:31" s="182" customFormat="1">
      <c r="B59" s="786"/>
      <c r="C59" s="217" t="s">
        <v>110</v>
      </c>
      <c r="D59" s="618"/>
      <c r="E59" s="248"/>
      <c r="F59" s="613"/>
      <c r="G59" s="613"/>
      <c r="H59" s="613"/>
      <c r="I59" s="613"/>
      <c r="J59" s="613"/>
      <c r="K59" s="613"/>
      <c r="L59" s="613"/>
      <c r="M59" s="613"/>
      <c r="N59" s="613"/>
      <c r="O59" s="613"/>
      <c r="P59" s="613"/>
      <c r="Q59" s="261"/>
      <c r="R59" s="248"/>
      <c r="S59" s="239"/>
      <c r="T59" s="239"/>
      <c r="U59" s="239"/>
      <c r="V59" s="239"/>
      <c r="W59" s="239"/>
      <c r="X59" s="239"/>
      <c r="Y59" s="239"/>
      <c r="Z59" s="239"/>
      <c r="AA59" s="239"/>
      <c r="AB59" s="239"/>
      <c r="AC59" s="239"/>
      <c r="AD59" s="239"/>
    </row>
    <row r="60" spans="2:31" s="182" customFormat="1">
      <c r="B60" s="786"/>
      <c r="C60" s="217" t="s">
        <v>111</v>
      </c>
      <c r="D60" s="619"/>
      <c r="E60" s="248"/>
      <c r="F60" s="613"/>
      <c r="G60" s="613"/>
      <c r="H60" s="613"/>
      <c r="I60" s="613"/>
      <c r="J60" s="613"/>
      <c r="K60" s="613"/>
      <c r="L60" s="613"/>
      <c r="M60" s="613"/>
      <c r="N60" s="613"/>
      <c r="O60" s="613"/>
      <c r="P60" s="613"/>
      <c r="Q60" s="261"/>
      <c r="R60" s="248"/>
      <c r="S60" s="239"/>
      <c r="T60" s="239"/>
      <c r="U60" s="239"/>
      <c r="V60" s="239"/>
      <c r="W60" s="239"/>
      <c r="X60" s="239"/>
      <c r="Y60" s="239"/>
      <c r="Z60" s="239"/>
      <c r="AA60" s="239"/>
      <c r="AB60" s="239"/>
      <c r="AC60" s="239"/>
      <c r="AD60" s="239"/>
    </row>
    <row r="61" spans="2:31" s="182" customFormat="1">
      <c r="B61" s="786"/>
      <c r="C61" s="217" t="s">
        <v>112</v>
      </c>
      <c r="D61" s="618"/>
      <c r="F61" s="182">
        <v>20</v>
      </c>
      <c r="G61" s="182">
        <v>20</v>
      </c>
      <c r="H61" s="182">
        <v>20</v>
      </c>
      <c r="I61" s="182">
        <v>20</v>
      </c>
      <c r="J61" s="182">
        <v>20</v>
      </c>
      <c r="K61" s="182">
        <v>20</v>
      </c>
      <c r="L61" s="182">
        <v>20</v>
      </c>
      <c r="M61" s="182">
        <v>20</v>
      </c>
      <c r="N61" s="182">
        <v>20</v>
      </c>
      <c r="O61" s="182">
        <v>20</v>
      </c>
      <c r="P61" s="182">
        <v>20</v>
      </c>
      <c r="Q61" s="262">
        <v>20</v>
      </c>
    </row>
    <row r="62" spans="2:31" s="245" customFormat="1">
      <c r="B62" s="786"/>
      <c r="C62" s="246" t="s">
        <v>115</v>
      </c>
      <c r="D62" s="617"/>
      <c r="E62" s="248"/>
      <c r="F62" s="258"/>
      <c r="G62" s="258"/>
      <c r="H62" s="258"/>
      <c r="I62" s="258"/>
      <c r="J62" s="258"/>
      <c r="K62" s="258"/>
      <c r="L62" s="258"/>
      <c r="M62" s="258"/>
      <c r="N62" s="258"/>
      <c r="O62" s="258"/>
      <c r="P62" s="258"/>
      <c r="Q62" s="259"/>
      <c r="R62" s="260"/>
    </row>
    <row r="63" spans="2:31" s="182" customFormat="1">
      <c r="B63" s="786"/>
      <c r="C63" s="217" t="s">
        <v>110</v>
      </c>
      <c r="D63" s="618"/>
      <c r="E63" s="248"/>
      <c r="F63" s="613"/>
      <c r="G63" s="613"/>
      <c r="H63" s="613"/>
      <c r="I63" s="613"/>
      <c r="J63" s="613"/>
      <c r="K63" s="613"/>
      <c r="L63" s="613"/>
      <c r="M63" s="613"/>
      <c r="N63" s="613"/>
      <c r="O63" s="613"/>
      <c r="P63" s="613"/>
      <c r="Q63" s="261"/>
      <c r="R63" s="248"/>
      <c r="S63" s="239"/>
      <c r="T63" s="239"/>
      <c r="U63" s="239"/>
      <c r="V63" s="239"/>
      <c r="W63" s="239"/>
      <c r="X63" s="239"/>
      <c r="Y63" s="239"/>
      <c r="Z63" s="239"/>
      <c r="AA63" s="239"/>
      <c r="AB63" s="239"/>
      <c r="AC63" s="239"/>
      <c r="AD63" s="239"/>
    </row>
    <row r="64" spans="2:31" s="182" customFormat="1">
      <c r="B64" s="786"/>
      <c r="C64" s="217" t="s">
        <v>111</v>
      </c>
      <c r="D64" s="619"/>
      <c r="E64" s="248"/>
      <c r="F64" s="613"/>
      <c r="G64" s="613"/>
      <c r="H64" s="613"/>
      <c r="I64" s="613"/>
      <c r="J64" s="613"/>
      <c r="K64" s="613"/>
      <c r="L64" s="613"/>
      <c r="M64" s="613"/>
      <c r="N64" s="613"/>
      <c r="O64" s="613"/>
      <c r="P64" s="613"/>
      <c r="Q64" s="261"/>
      <c r="R64" s="248"/>
      <c r="S64" s="239"/>
      <c r="T64" s="239"/>
      <c r="U64" s="239"/>
      <c r="V64" s="239"/>
      <c r="W64" s="239"/>
      <c r="X64" s="239"/>
      <c r="Y64" s="239"/>
      <c r="Z64" s="239"/>
      <c r="AA64" s="239"/>
      <c r="AB64" s="239"/>
      <c r="AC64" s="239"/>
      <c r="AD64" s="239"/>
    </row>
    <row r="65" spans="2:31" s="182" customFormat="1">
      <c r="B65" s="787"/>
      <c r="C65" s="223" t="s">
        <v>112</v>
      </c>
      <c r="D65" s="620"/>
      <c r="E65" s="249"/>
      <c r="F65" s="249">
        <v>30</v>
      </c>
      <c r="G65" s="249">
        <v>30</v>
      </c>
      <c r="H65" s="249">
        <v>30</v>
      </c>
      <c r="I65" s="249">
        <v>30</v>
      </c>
      <c r="J65" s="249">
        <v>30</v>
      </c>
      <c r="K65" s="249">
        <v>30</v>
      </c>
      <c r="L65" s="249">
        <v>30</v>
      </c>
      <c r="M65" s="249">
        <v>30</v>
      </c>
      <c r="N65" s="249">
        <v>30</v>
      </c>
      <c r="O65" s="249">
        <v>30</v>
      </c>
      <c r="P65" s="249">
        <v>30</v>
      </c>
      <c r="Q65" s="250">
        <v>30</v>
      </c>
    </row>
    <row r="66" spans="2:31" s="182" customFormat="1" ht="16">
      <c r="B66" s="785" t="s">
        <v>119</v>
      </c>
      <c r="C66" s="227" t="s">
        <v>120</v>
      </c>
      <c r="D66" s="609"/>
      <c r="E66" s="228"/>
      <c r="F66" s="264">
        <f t="shared" ref="F66:Q66" si="22">F67+F68</f>
        <v>0</v>
      </c>
      <c r="G66" s="264">
        <f t="shared" si="22"/>
        <v>0</v>
      </c>
      <c r="H66" s="264">
        <f t="shared" si="22"/>
        <v>0</v>
      </c>
      <c r="I66" s="264">
        <f t="shared" si="22"/>
        <v>0</v>
      </c>
      <c r="J66" s="264">
        <f t="shared" si="22"/>
        <v>0</v>
      </c>
      <c r="K66" s="264">
        <f t="shared" si="22"/>
        <v>0</v>
      </c>
      <c r="L66" s="264">
        <f t="shared" si="22"/>
        <v>0</v>
      </c>
      <c r="M66" s="264">
        <f t="shared" si="22"/>
        <v>0</v>
      </c>
      <c r="N66" s="264">
        <f t="shared" si="22"/>
        <v>0</v>
      </c>
      <c r="O66" s="264">
        <f t="shared" si="22"/>
        <v>0</v>
      </c>
      <c r="P66" s="264">
        <f t="shared" si="22"/>
        <v>0</v>
      </c>
      <c r="Q66" s="265">
        <f t="shared" si="22"/>
        <v>0</v>
      </c>
    </row>
    <row r="67" spans="2:31" s="182" customFormat="1" ht="16">
      <c r="B67" s="786"/>
      <c r="C67" s="231" t="s">
        <v>121</v>
      </c>
      <c r="D67" s="610"/>
      <c r="E67" s="232"/>
      <c r="F67" s="233"/>
      <c r="G67" s="233"/>
      <c r="H67" s="233"/>
      <c r="I67" s="233"/>
      <c r="J67" s="233"/>
      <c r="K67" s="233"/>
      <c r="L67" s="233"/>
      <c r="M67" s="233"/>
      <c r="N67" s="233"/>
      <c r="O67" s="233"/>
      <c r="P67" s="233"/>
      <c r="Q67" s="238"/>
      <c r="S67" s="239"/>
      <c r="T67" s="239"/>
      <c r="U67" s="239"/>
      <c r="V67" s="239"/>
      <c r="W67" s="239"/>
      <c r="X67" s="239"/>
      <c r="Y67" s="239"/>
      <c r="Z67" s="239"/>
      <c r="AA67" s="239"/>
      <c r="AB67" s="239"/>
      <c r="AC67" s="239"/>
      <c r="AD67" s="239"/>
    </row>
    <row r="68" spans="2:31" s="182" customFormat="1" ht="16">
      <c r="B68" s="787"/>
      <c r="C68" s="199" t="s">
        <v>122</v>
      </c>
      <c r="D68" s="601"/>
      <c r="E68" s="200"/>
      <c r="F68" s="235"/>
      <c r="G68" s="235"/>
      <c r="H68" s="235"/>
      <c r="I68" s="235"/>
      <c r="J68" s="235"/>
      <c r="K68" s="235"/>
      <c r="L68" s="235"/>
      <c r="M68" s="235"/>
      <c r="N68" s="235"/>
      <c r="O68" s="235"/>
      <c r="P68" s="235"/>
      <c r="Q68" s="266"/>
      <c r="S68" s="239"/>
      <c r="T68" s="239"/>
      <c r="U68" s="239"/>
      <c r="V68" s="239"/>
      <c r="W68" s="239"/>
      <c r="X68" s="239"/>
      <c r="Y68" s="239"/>
      <c r="Z68" s="239"/>
      <c r="AA68" s="239"/>
      <c r="AB68" s="239"/>
      <c r="AC68" s="239"/>
      <c r="AD68" s="239"/>
    </row>
    <row r="69" spans="2:31" s="182" customFormat="1" ht="16">
      <c r="B69" s="785" t="s">
        <v>123</v>
      </c>
      <c r="C69" s="227" t="s">
        <v>107</v>
      </c>
      <c r="D69" s="611"/>
      <c r="E69" s="236"/>
      <c r="F69" s="243">
        <f t="shared" ref="F69:P69" si="23">SUM(F70:F73)</f>
        <v>0</v>
      </c>
      <c r="G69" s="243">
        <f t="shared" si="23"/>
        <v>0</v>
      </c>
      <c r="H69" s="243">
        <f t="shared" si="23"/>
        <v>0</v>
      </c>
      <c r="I69" s="243">
        <f t="shared" si="23"/>
        <v>0</v>
      </c>
      <c r="J69" s="243">
        <f t="shared" si="23"/>
        <v>0</v>
      </c>
      <c r="K69" s="243">
        <f t="shared" si="23"/>
        <v>0</v>
      </c>
      <c r="L69" s="243">
        <f t="shared" si="23"/>
        <v>0</v>
      </c>
      <c r="M69" s="243">
        <f t="shared" si="23"/>
        <v>0</v>
      </c>
      <c r="N69" s="243">
        <f t="shared" si="23"/>
        <v>0</v>
      </c>
      <c r="O69" s="243">
        <f t="shared" si="23"/>
        <v>0</v>
      </c>
      <c r="P69" s="243">
        <f t="shared" si="23"/>
        <v>0</v>
      </c>
      <c r="Q69" s="254">
        <f t="shared" ref="Q69" si="24">SUM(Q70:Q73)</f>
        <v>0</v>
      </c>
    </row>
    <row r="70" spans="2:31" s="182" customFormat="1">
      <c r="B70" s="786"/>
      <c r="C70" s="237">
        <v>5</v>
      </c>
      <c r="D70" s="610"/>
      <c r="E70" s="232"/>
      <c r="F70" s="251"/>
      <c r="G70" s="251"/>
      <c r="H70" s="251"/>
      <c r="I70" s="251"/>
      <c r="J70" s="251"/>
      <c r="K70" s="251"/>
      <c r="L70" s="251"/>
      <c r="M70" s="251"/>
      <c r="N70" s="251"/>
      <c r="O70" s="251"/>
      <c r="P70" s="251"/>
      <c r="Q70" s="252"/>
      <c r="S70" s="239"/>
      <c r="T70" s="239"/>
      <c r="U70" s="239"/>
      <c r="V70" s="239"/>
      <c r="W70" s="239"/>
      <c r="X70" s="239"/>
      <c r="Y70" s="239"/>
      <c r="Z70" s="239"/>
      <c r="AA70" s="239"/>
      <c r="AB70" s="239"/>
      <c r="AC70" s="239"/>
      <c r="AD70" s="239"/>
    </row>
    <row r="71" spans="2:31" s="182" customFormat="1">
      <c r="B71" s="786"/>
      <c r="C71" s="237">
        <v>10</v>
      </c>
      <c r="D71" s="610"/>
      <c r="E71" s="232"/>
      <c r="F71" s="251"/>
      <c r="G71" s="251"/>
      <c r="H71" s="251"/>
      <c r="I71" s="251"/>
      <c r="J71" s="251"/>
      <c r="K71" s="251"/>
      <c r="L71" s="251"/>
      <c r="M71" s="251"/>
      <c r="N71" s="251"/>
      <c r="O71" s="251"/>
      <c r="P71" s="251"/>
      <c r="Q71" s="252"/>
      <c r="S71" s="239"/>
      <c r="T71" s="239"/>
      <c r="U71" s="239"/>
      <c r="V71" s="239"/>
      <c r="W71" s="239"/>
      <c r="X71" s="239"/>
      <c r="Y71" s="239"/>
      <c r="Z71" s="239"/>
      <c r="AA71" s="239"/>
      <c r="AB71" s="239"/>
      <c r="AC71" s="239"/>
      <c r="AD71" s="239"/>
    </row>
    <row r="72" spans="2:31" s="182" customFormat="1">
      <c r="B72" s="786"/>
      <c r="C72" s="237">
        <v>20</v>
      </c>
      <c r="D72" s="610"/>
      <c r="E72" s="232"/>
      <c r="F72" s="251"/>
      <c r="G72" s="251"/>
      <c r="H72" s="251"/>
      <c r="I72" s="251"/>
      <c r="J72" s="251"/>
      <c r="K72" s="251"/>
      <c r="L72" s="251"/>
      <c r="M72" s="251"/>
      <c r="N72" s="251"/>
      <c r="O72" s="251"/>
      <c r="P72" s="251"/>
      <c r="Q72" s="252"/>
      <c r="S72" s="239"/>
      <c r="T72" s="239"/>
      <c r="U72" s="239"/>
      <c r="V72" s="239"/>
      <c r="W72" s="239"/>
      <c r="X72" s="239"/>
      <c r="Y72" s="239"/>
      <c r="Z72" s="239"/>
      <c r="AA72" s="239"/>
      <c r="AB72" s="239"/>
      <c r="AC72" s="239"/>
      <c r="AD72" s="239"/>
    </row>
    <row r="73" spans="2:31" s="182" customFormat="1">
      <c r="B73" s="787"/>
      <c r="C73" s="240">
        <v>30</v>
      </c>
      <c r="D73" s="601"/>
      <c r="E73" s="200"/>
      <c r="F73" s="201"/>
      <c r="G73" s="201"/>
      <c r="H73" s="201"/>
      <c r="I73" s="201"/>
      <c r="J73" s="201"/>
      <c r="K73" s="201"/>
      <c r="L73" s="201"/>
      <c r="M73" s="201"/>
      <c r="N73" s="201"/>
      <c r="O73" s="201"/>
      <c r="P73" s="201"/>
      <c r="Q73" s="202"/>
      <c r="S73" s="239"/>
      <c r="T73" s="239"/>
      <c r="U73" s="239"/>
      <c r="V73" s="239"/>
      <c r="W73" s="239"/>
      <c r="X73" s="239"/>
      <c r="Y73" s="239"/>
      <c r="Z73" s="239"/>
      <c r="AA73" s="239"/>
      <c r="AB73" s="239"/>
      <c r="AC73" s="239"/>
      <c r="AD73" s="239"/>
    </row>
    <row r="74" spans="2:31" s="256" customFormat="1">
      <c r="B74" s="785" t="s">
        <v>124</v>
      </c>
      <c r="C74" s="241" t="s">
        <v>109</v>
      </c>
      <c r="D74" s="621"/>
      <c r="E74" s="267"/>
      <c r="F74" s="267"/>
      <c r="G74" s="267"/>
      <c r="H74" s="267"/>
      <c r="I74" s="267"/>
      <c r="J74" s="267"/>
      <c r="K74" s="267"/>
      <c r="L74" s="267"/>
      <c r="M74" s="267"/>
      <c r="N74" s="267"/>
      <c r="O74" s="267"/>
      <c r="P74" s="267"/>
      <c r="Q74" s="268"/>
      <c r="R74" s="255"/>
      <c r="S74" s="255"/>
      <c r="T74" s="255"/>
      <c r="U74" s="255"/>
      <c r="V74" s="255"/>
      <c r="W74" s="255"/>
    </row>
    <row r="75" spans="2:31" s="182" customFormat="1">
      <c r="B75" s="786"/>
      <c r="C75" s="217" t="s">
        <v>125</v>
      </c>
      <c r="D75" s="604"/>
      <c r="E75" s="605"/>
      <c r="F75" s="613"/>
      <c r="G75" s="613"/>
      <c r="H75" s="613"/>
      <c r="I75" s="613"/>
      <c r="J75" s="613"/>
      <c r="K75" s="613"/>
      <c r="L75" s="613"/>
      <c r="M75" s="613"/>
      <c r="N75" s="613"/>
      <c r="O75" s="613"/>
      <c r="P75" s="613"/>
      <c r="Q75" s="261"/>
      <c r="R75" s="269"/>
      <c r="S75" s="269"/>
      <c r="T75" s="239"/>
      <c r="U75" s="239"/>
      <c r="V75" s="239"/>
      <c r="W75" s="239"/>
      <c r="X75" s="239"/>
      <c r="Y75" s="239"/>
      <c r="Z75" s="239"/>
      <c r="AA75" s="239"/>
      <c r="AB75" s="239"/>
      <c r="AC75" s="239"/>
      <c r="AD75" s="239"/>
      <c r="AE75" s="239"/>
    </row>
    <row r="76" spans="2:31" s="182" customFormat="1">
      <c r="B76" s="786"/>
      <c r="C76" s="217" t="s">
        <v>112</v>
      </c>
      <c r="D76" s="616"/>
      <c r="E76" s="622"/>
      <c r="F76" s="245">
        <v>5</v>
      </c>
      <c r="G76" s="245">
        <v>5</v>
      </c>
      <c r="H76" s="245">
        <v>5</v>
      </c>
      <c r="I76" s="245">
        <v>5</v>
      </c>
      <c r="J76" s="245">
        <v>5</v>
      </c>
      <c r="K76" s="245">
        <v>5</v>
      </c>
      <c r="L76" s="245">
        <v>5</v>
      </c>
      <c r="M76" s="245">
        <v>5</v>
      </c>
      <c r="N76" s="245">
        <v>5</v>
      </c>
      <c r="O76" s="245">
        <v>5</v>
      </c>
      <c r="P76" s="245">
        <v>5</v>
      </c>
      <c r="Q76" s="257">
        <v>5</v>
      </c>
    </row>
    <row r="77" spans="2:31" s="245" customFormat="1">
      <c r="B77" s="786"/>
      <c r="C77" s="246" t="s">
        <v>113</v>
      </c>
      <c r="D77" s="617"/>
      <c r="E77" s="255"/>
      <c r="F77" s="255"/>
      <c r="G77" s="614"/>
      <c r="H77" s="614"/>
      <c r="I77" s="614"/>
      <c r="J77" s="255"/>
      <c r="K77" s="255"/>
      <c r="L77" s="255"/>
      <c r="M77" s="255"/>
      <c r="N77" s="255"/>
      <c r="O77" s="255"/>
      <c r="P77" s="255"/>
      <c r="Q77" s="270"/>
      <c r="R77" s="260"/>
      <c r="S77" s="260"/>
      <c r="T77" s="260"/>
      <c r="U77" s="260"/>
      <c r="V77" s="260"/>
      <c r="W77" s="260"/>
    </row>
    <row r="78" spans="2:31" s="182" customFormat="1">
      <c r="B78" s="786"/>
      <c r="C78" s="217" t="s">
        <v>125</v>
      </c>
      <c r="D78" s="604"/>
      <c r="E78" s="605"/>
      <c r="F78" s="613"/>
      <c r="G78" s="613"/>
      <c r="H78" s="613"/>
      <c r="I78" s="613"/>
      <c r="J78" s="613"/>
      <c r="K78" s="613"/>
      <c r="L78" s="613"/>
      <c r="M78" s="613"/>
      <c r="N78" s="613"/>
      <c r="O78" s="613"/>
      <c r="P78" s="613"/>
      <c r="Q78" s="261"/>
      <c r="R78" s="269"/>
      <c r="S78" s="269"/>
      <c r="T78" s="239"/>
      <c r="U78" s="239"/>
      <c r="V78" s="239"/>
      <c r="W78" s="239"/>
      <c r="X78" s="239"/>
      <c r="Y78" s="239"/>
      <c r="Z78" s="239"/>
      <c r="AA78" s="239"/>
      <c r="AB78" s="239"/>
      <c r="AC78" s="239"/>
      <c r="AD78" s="239"/>
    </row>
    <row r="79" spans="2:31" s="182" customFormat="1">
      <c r="B79" s="786"/>
      <c r="C79" s="217" t="s">
        <v>112</v>
      </c>
      <c r="D79" s="618"/>
      <c r="E79" s="245"/>
      <c r="F79" s="182">
        <v>10</v>
      </c>
      <c r="G79" s="182">
        <v>10</v>
      </c>
      <c r="H79" s="182">
        <v>10</v>
      </c>
      <c r="I79" s="182">
        <v>10</v>
      </c>
      <c r="J79" s="182">
        <v>10</v>
      </c>
      <c r="K79" s="182">
        <v>10</v>
      </c>
      <c r="L79" s="182">
        <v>10</v>
      </c>
      <c r="M79" s="182">
        <v>10</v>
      </c>
      <c r="N79" s="182">
        <v>10</v>
      </c>
      <c r="O79" s="182">
        <v>10</v>
      </c>
      <c r="P79" s="182">
        <v>10</v>
      </c>
      <c r="Q79" s="262">
        <v>10</v>
      </c>
    </row>
    <row r="80" spans="2:31" s="245" customFormat="1">
      <c r="B80" s="786"/>
      <c r="C80" s="246" t="s">
        <v>118</v>
      </c>
      <c r="D80" s="617"/>
      <c r="E80" s="255"/>
      <c r="F80" s="255"/>
      <c r="G80" s="258"/>
      <c r="H80" s="255"/>
      <c r="I80" s="255"/>
      <c r="J80" s="255"/>
      <c r="K80" s="255"/>
      <c r="L80" s="255"/>
      <c r="M80" s="255"/>
      <c r="N80" s="255"/>
      <c r="O80" s="255"/>
      <c r="P80" s="255"/>
      <c r="Q80" s="270"/>
      <c r="R80" s="260"/>
      <c r="S80" s="260"/>
      <c r="T80" s="260"/>
      <c r="U80" s="260"/>
      <c r="V80" s="260"/>
      <c r="W80" s="260"/>
    </row>
    <row r="81" spans="2:30" s="182" customFormat="1">
      <c r="B81" s="786"/>
      <c r="C81" s="217" t="s">
        <v>125</v>
      </c>
      <c r="D81" s="619"/>
      <c r="E81" s="623"/>
      <c r="F81" s="613"/>
      <c r="G81" s="613"/>
      <c r="H81" s="613"/>
      <c r="I81" s="613"/>
      <c r="J81" s="613"/>
      <c r="K81" s="613"/>
      <c r="L81" s="613"/>
      <c r="M81" s="613"/>
      <c r="N81" s="613"/>
      <c r="O81" s="613"/>
      <c r="P81" s="613"/>
      <c r="Q81" s="261"/>
      <c r="R81" s="269"/>
      <c r="S81" s="269"/>
      <c r="T81" s="239"/>
      <c r="U81" s="239"/>
      <c r="V81" s="239"/>
      <c r="W81" s="239"/>
      <c r="X81" s="239"/>
      <c r="Y81" s="239"/>
      <c r="Z81" s="239"/>
      <c r="AA81" s="239"/>
      <c r="AB81" s="239"/>
      <c r="AC81" s="239"/>
      <c r="AD81" s="239"/>
    </row>
    <row r="82" spans="2:30" s="182" customFormat="1">
      <c r="B82" s="786"/>
      <c r="C82" s="217" t="s">
        <v>112</v>
      </c>
      <c r="D82" s="618"/>
      <c r="E82" s="245"/>
      <c r="F82" s="182">
        <v>20</v>
      </c>
      <c r="G82" s="182">
        <v>20</v>
      </c>
      <c r="H82" s="182">
        <v>20</v>
      </c>
      <c r="I82" s="182">
        <v>20</v>
      </c>
      <c r="J82" s="182">
        <v>20</v>
      </c>
      <c r="K82" s="182">
        <v>20</v>
      </c>
      <c r="L82" s="182">
        <v>20</v>
      </c>
      <c r="M82" s="182">
        <v>20</v>
      </c>
      <c r="N82" s="182">
        <v>20</v>
      </c>
      <c r="O82" s="182">
        <v>20</v>
      </c>
      <c r="P82" s="182">
        <v>20</v>
      </c>
      <c r="Q82" s="262">
        <v>20</v>
      </c>
      <c r="R82" s="269"/>
      <c r="S82" s="269"/>
    </row>
    <row r="83" spans="2:30" s="245" customFormat="1">
      <c r="B83" s="786"/>
      <c r="C83" s="246" t="s">
        <v>115</v>
      </c>
      <c r="D83" s="617"/>
      <c r="E83" s="255"/>
      <c r="F83" s="255"/>
      <c r="G83" s="258"/>
      <c r="H83" s="255"/>
      <c r="I83" s="255"/>
      <c r="J83" s="255"/>
      <c r="K83" s="255"/>
      <c r="L83" s="255"/>
      <c r="M83" s="255"/>
      <c r="N83" s="255"/>
      <c r="O83" s="255"/>
      <c r="P83" s="255"/>
      <c r="Q83" s="270"/>
      <c r="R83" s="269"/>
      <c r="S83" s="269"/>
      <c r="T83" s="260"/>
      <c r="U83" s="260"/>
      <c r="V83" s="260"/>
      <c r="W83" s="260"/>
    </row>
    <row r="84" spans="2:30" s="182" customFormat="1">
      <c r="B84" s="786"/>
      <c r="C84" s="217" t="s">
        <v>125</v>
      </c>
      <c r="D84" s="619"/>
      <c r="E84" s="623"/>
      <c r="F84" s="613"/>
      <c r="G84" s="613"/>
      <c r="H84" s="613"/>
      <c r="I84" s="613"/>
      <c r="J84" s="613"/>
      <c r="K84" s="613"/>
      <c r="L84" s="613"/>
      <c r="M84" s="613"/>
      <c r="N84" s="613"/>
      <c r="O84" s="613"/>
      <c r="P84" s="613"/>
      <c r="Q84" s="261"/>
      <c r="R84" s="269"/>
      <c r="S84" s="269"/>
      <c r="T84" s="239"/>
      <c r="U84" s="239"/>
      <c r="V84" s="239"/>
      <c r="W84" s="239"/>
      <c r="X84" s="239"/>
      <c r="Y84" s="239"/>
      <c r="Z84" s="239"/>
      <c r="AA84" s="239"/>
      <c r="AB84" s="239"/>
      <c r="AC84" s="239"/>
      <c r="AD84" s="239"/>
    </row>
    <row r="85" spans="2:30" s="182" customFormat="1">
      <c r="B85" s="787"/>
      <c r="C85" s="223" t="s">
        <v>112</v>
      </c>
      <c r="D85" s="620"/>
      <c r="E85" s="263"/>
      <c r="F85" s="249">
        <v>30</v>
      </c>
      <c r="G85" s="249">
        <v>30</v>
      </c>
      <c r="H85" s="249">
        <v>30</v>
      </c>
      <c r="I85" s="249">
        <v>30</v>
      </c>
      <c r="J85" s="249">
        <v>30</v>
      </c>
      <c r="K85" s="249">
        <v>30</v>
      </c>
      <c r="L85" s="249">
        <v>30</v>
      </c>
      <c r="M85" s="249">
        <v>30</v>
      </c>
      <c r="N85" s="249">
        <v>30</v>
      </c>
      <c r="O85" s="249">
        <v>30</v>
      </c>
      <c r="P85" s="249">
        <v>30</v>
      </c>
      <c r="Q85" s="250">
        <v>30</v>
      </c>
    </row>
    <row r="86" spans="2:30" s="182" customFormat="1" ht="16">
      <c r="B86" s="785" t="s">
        <v>126</v>
      </c>
      <c r="C86" s="227" t="s">
        <v>107</v>
      </c>
      <c r="D86" s="624"/>
      <c r="E86" s="243"/>
      <c r="F86" s="243">
        <f t="shared" ref="F86:P86" si="25">SUM(F87:F89)</f>
        <v>0</v>
      </c>
      <c r="G86" s="243">
        <f t="shared" si="25"/>
        <v>0</v>
      </c>
      <c r="H86" s="243">
        <f t="shared" si="25"/>
        <v>0</v>
      </c>
      <c r="I86" s="243">
        <f t="shared" si="25"/>
        <v>0</v>
      </c>
      <c r="J86" s="243">
        <f t="shared" si="25"/>
        <v>0</v>
      </c>
      <c r="K86" s="243">
        <f t="shared" si="25"/>
        <v>0</v>
      </c>
      <c r="L86" s="243">
        <f t="shared" si="25"/>
        <v>0</v>
      </c>
      <c r="M86" s="243">
        <f t="shared" si="25"/>
        <v>0</v>
      </c>
      <c r="N86" s="243">
        <f t="shared" si="25"/>
        <v>0</v>
      </c>
      <c r="O86" s="243">
        <f t="shared" si="25"/>
        <v>0</v>
      </c>
      <c r="P86" s="243">
        <f t="shared" si="25"/>
        <v>0</v>
      </c>
      <c r="Q86" s="254">
        <f t="shared" ref="Q86" si="26">SUM(Q87:Q89)</f>
        <v>0</v>
      </c>
    </row>
    <row r="87" spans="2:30" s="182" customFormat="1">
      <c r="B87" s="786"/>
      <c r="C87" s="237">
        <v>5</v>
      </c>
      <c r="D87" s="625"/>
      <c r="E87" s="271"/>
      <c r="F87" s="251"/>
      <c r="G87" s="251"/>
      <c r="H87" s="251"/>
      <c r="I87" s="251"/>
      <c r="J87" s="251"/>
      <c r="K87" s="251"/>
      <c r="L87" s="251"/>
      <c r="M87" s="251"/>
      <c r="N87" s="251"/>
      <c r="O87" s="251"/>
      <c r="P87" s="251"/>
      <c r="Q87" s="252"/>
    </row>
    <row r="88" spans="2:30" s="182" customFormat="1">
      <c r="B88" s="786"/>
      <c r="C88" s="237">
        <v>10</v>
      </c>
      <c r="D88" s="625"/>
      <c r="E88" s="271"/>
      <c r="F88" s="251"/>
      <c r="G88" s="251"/>
      <c r="H88" s="251"/>
      <c r="I88" s="251"/>
      <c r="J88" s="251"/>
      <c r="K88" s="251"/>
      <c r="L88" s="251"/>
      <c r="M88" s="251"/>
      <c r="N88" s="251"/>
      <c r="O88" s="251"/>
      <c r="P88" s="251"/>
      <c r="Q88" s="252"/>
      <c r="S88" s="239"/>
      <c r="T88" s="239"/>
      <c r="U88" s="239"/>
      <c r="V88" s="239"/>
      <c r="W88" s="239"/>
      <c r="X88" s="239"/>
      <c r="Y88" s="239"/>
      <c r="Z88" s="239"/>
      <c r="AA88" s="239"/>
      <c r="AB88" s="239"/>
      <c r="AC88" s="239"/>
      <c r="AD88" s="239"/>
    </row>
    <row r="89" spans="2:30" s="182" customFormat="1">
      <c r="B89" s="787"/>
      <c r="C89" s="240">
        <v>30</v>
      </c>
      <c r="D89" s="626"/>
      <c r="E89" s="272"/>
      <c r="F89" s="201"/>
      <c r="G89" s="201"/>
      <c r="H89" s="201"/>
      <c r="I89" s="201"/>
      <c r="J89" s="201"/>
      <c r="K89" s="201"/>
      <c r="L89" s="201"/>
      <c r="M89" s="201"/>
      <c r="N89" s="201"/>
      <c r="O89" s="201"/>
      <c r="P89" s="201"/>
      <c r="Q89" s="202"/>
      <c r="S89" s="239"/>
      <c r="T89" s="239"/>
      <c r="U89" s="239"/>
      <c r="V89" s="239"/>
      <c r="W89" s="239"/>
      <c r="X89" s="239"/>
      <c r="Y89" s="239"/>
      <c r="Z89" s="239"/>
      <c r="AA89" s="239"/>
      <c r="AB89" s="239"/>
      <c r="AC89" s="239"/>
      <c r="AD89" s="239"/>
    </row>
    <row r="90" spans="2:30" s="256" customFormat="1">
      <c r="B90" s="785" t="s">
        <v>127</v>
      </c>
      <c r="C90" s="241" t="s">
        <v>128</v>
      </c>
      <c r="D90" s="621"/>
      <c r="E90" s="267"/>
      <c r="F90" s="267"/>
      <c r="G90" s="267"/>
      <c r="H90" s="267"/>
      <c r="I90" s="267"/>
      <c r="J90" s="267"/>
      <c r="K90" s="267"/>
      <c r="L90" s="267"/>
      <c r="M90" s="267"/>
      <c r="N90" s="267"/>
      <c r="O90" s="267"/>
      <c r="P90" s="267"/>
      <c r="Q90" s="268"/>
      <c r="R90" s="255"/>
      <c r="S90" s="255"/>
      <c r="T90" s="255"/>
      <c r="U90" s="255"/>
      <c r="V90" s="255"/>
      <c r="W90" s="255"/>
      <c r="X90" s="255"/>
    </row>
    <row r="91" spans="2:30" s="182" customFormat="1">
      <c r="B91" s="786"/>
      <c r="C91" s="217" t="s">
        <v>110</v>
      </c>
      <c r="D91" s="604"/>
      <c r="E91" s="605"/>
      <c r="F91" s="627"/>
      <c r="G91" s="627"/>
      <c r="H91" s="627"/>
      <c r="I91" s="627"/>
      <c r="J91" s="627"/>
      <c r="K91" s="627"/>
      <c r="L91" s="627"/>
      <c r="M91" s="627"/>
      <c r="N91" s="627"/>
      <c r="O91" s="627"/>
      <c r="P91" s="627"/>
      <c r="Q91" s="273"/>
      <c r="R91" s="248"/>
      <c r="S91" s="248"/>
      <c r="T91" s="248"/>
      <c r="U91" s="248"/>
      <c r="V91" s="248"/>
      <c r="W91" s="248"/>
      <c r="X91" s="248"/>
    </row>
    <row r="92" spans="2:30" s="182" customFormat="1">
      <c r="B92" s="786"/>
      <c r="C92" s="217" t="s">
        <v>111</v>
      </c>
      <c r="D92" s="604"/>
      <c r="E92" s="605"/>
      <c r="F92" s="627"/>
      <c r="G92" s="627"/>
      <c r="H92" s="627"/>
      <c r="I92" s="627"/>
      <c r="J92" s="627"/>
      <c r="K92" s="627"/>
      <c r="L92" s="627"/>
      <c r="M92" s="627"/>
      <c r="N92" s="627"/>
      <c r="O92" s="627"/>
      <c r="P92" s="627"/>
      <c r="Q92" s="273"/>
      <c r="R92" s="248"/>
      <c r="S92" s="248"/>
      <c r="T92" s="248"/>
      <c r="U92" s="248"/>
      <c r="V92" s="248"/>
      <c r="W92" s="248"/>
      <c r="X92" s="248"/>
    </row>
    <row r="93" spans="2:30" s="182" customFormat="1">
      <c r="B93" s="786"/>
      <c r="C93" s="217" t="s">
        <v>112</v>
      </c>
      <c r="D93" s="618"/>
      <c r="E93" s="245"/>
      <c r="F93" s="182">
        <v>5</v>
      </c>
      <c r="G93" s="182">
        <v>5</v>
      </c>
      <c r="H93" s="182">
        <v>5</v>
      </c>
      <c r="I93" s="182">
        <v>5</v>
      </c>
      <c r="J93" s="182">
        <v>5</v>
      </c>
      <c r="K93" s="182">
        <v>5</v>
      </c>
      <c r="L93" s="182">
        <v>5</v>
      </c>
      <c r="M93" s="182">
        <v>5</v>
      </c>
      <c r="N93" s="182">
        <v>5</v>
      </c>
      <c r="O93" s="182">
        <v>5</v>
      </c>
      <c r="P93" s="182">
        <v>5</v>
      </c>
      <c r="Q93" s="262">
        <v>5</v>
      </c>
    </row>
    <row r="94" spans="2:30" s="245" customFormat="1">
      <c r="B94" s="786"/>
      <c r="C94" s="246" t="s">
        <v>129</v>
      </c>
      <c r="D94" s="628"/>
      <c r="E94" s="629"/>
      <c r="F94" s="629"/>
      <c r="G94" s="629"/>
      <c r="H94" s="629"/>
      <c r="I94" s="629"/>
      <c r="J94" s="629"/>
      <c r="K94" s="629"/>
      <c r="L94" s="629"/>
      <c r="M94" s="629"/>
      <c r="N94" s="629"/>
      <c r="O94" s="629"/>
      <c r="P94" s="629"/>
      <c r="Q94" s="274"/>
      <c r="R94" s="260"/>
      <c r="S94" s="260"/>
      <c r="T94" s="260"/>
      <c r="U94" s="260"/>
      <c r="V94" s="260"/>
      <c r="W94" s="260"/>
      <c r="X94" s="260"/>
    </row>
    <row r="95" spans="2:30" s="182" customFormat="1">
      <c r="B95" s="786"/>
      <c r="C95" s="217" t="s">
        <v>110</v>
      </c>
      <c r="D95" s="604"/>
      <c r="E95" s="605"/>
      <c r="F95" s="627"/>
      <c r="G95" s="627"/>
      <c r="H95" s="627"/>
      <c r="I95" s="627"/>
      <c r="J95" s="627"/>
      <c r="K95" s="627"/>
      <c r="L95" s="627"/>
      <c r="M95" s="627"/>
      <c r="N95" s="627"/>
      <c r="O95" s="627"/>
      <c r="P95" s="627"/>
      <c r="Q95" s="273"/>
      <c r="R95" s="248"/>
      <c r="S95" s="239"/>
      <c r="T95" s="239"/>
      <c r="U95" s="239"/>
      <c r="V95" s="239"/>
      <c r="W95" s="239"/>
      <c r="X95" s="239"/>
      <c r="Y95" s="239"/>
      <c r="Z95" s="239"/>
      <c r="AA95" s="239"/>
      <c r="AB95" s="239"/>
      <c r="AC95" s="239"/>
      <c r="AD95" s="239"/>
    </row>
    <row r="96" spans="2:30" s="182" customFormat="1">
      <c r="B96" s="786"/>
      <c r="C96" s="217" t="s">
        <v>111</v>
      </c>
      <c r="D96" s="604"/>
      <c r="E96" s="605"/>
      <c r="F96" s="627"/>
      <c r="G96" s="627"/>
      <c r="H96" s="627"/>
      <c r="I96" s="627"/>
      <c r="J96" s="627"/>
      <c r="K96" s="627"/>
      <c r="L96" s="627"/>
      <c r="M96" s="627"/>
      <c r="N96" s="627"/>
      <c r="O96" s="627"/>
      <c r="P96" s="627"/>
      <c r="Q96" s="273"/>
      <c r="R96" s="248"/>
      <c r="S96" s="239"/>
      <c r="T96" s="239"/>
      <c r="U96" s="239"/>
      <c r="V96" s="239"/>
      <c r="W96" s="239"/>
      <c r="X96" s="239"/>
      <c r="Y96" s="239"/>
      <c r="Z96" s="239"/>
      <c r="AA96" s="239"/>
      <c r="AB96" s="239"/>
      <c r="AC96" s="239"/>
      <c r="AD96" s="239"/>
    </row>
    <row r="97" spans="2:30" s="182" customFormat="1">
      <c r="B97" s="786"/>
      <c r="C97" s="217" t="s">
        <v>112</v>
      </c>
      <c r="D97" s="618"/>
      <c r="E97" s="245"/>
      <c r="F97" s="182">
        <v>10</v>
      </c>
      <c r="G97" s="182">
        <v>10</v>
      </c>
      <c r="H97" s="182">
        <v>10</v>
      </c>
      <c r="I97" s="182">
        <v>10</v>
      </c>
      <c r="J97" s="182">
        <v>10</v>
      </c>
      <c r="K97" s="182">
        <v>10</v>
      </c>
      <c r="L97" s="182">
        <v>10</v>
      </c>
      <c r="M97" s="182">
        <v>10</v>
      </c>
      <c r="N97" s="182">
        <v>10</v>
      </c>
      <c r="O97" s="182">
        <v>10</v>
      </c>
      <c r="P97" s="182">
        <v>10</v>
      </c>
      <c r="Q97" s="262">
        <v>10</v>
      </c>
    </row>
    <row r="98" spans="2:30" s="245" customFormat="1">
      <c r="B98" s="786"/>
      <c r="C98" s="246" t="s">
        <v>130</v>
      </c>
      <c r="D98" s="617"/>
      <c r="E98" s="255"/>
      <c r="F98" s="255"/>
      <c r="G98" s="255"/>
      <c r="H98" s="255"/>
      <c r="I98" s="255"/>
      <c r="J98" s="255"/>
      <c r="K98" s="255"/>
      <c r="L98" s="255"/>
      <c r="M98" s="255"/>
      <c r="N98" s="255"/>
      <c r="O98" s="255"/>
      <c r="P98" s="255"/>
      <c r="Q98" s="270"/>
      <c r="R98" s="260"/>
      <c r="S98" s="260"/>
      <c r="T98" s="260"/>
      <c r="U98" s="260"/>
      <c r="V98" s="260"/>
      <c r="W98" s="260"/>
      <c r="X98" s="260"/>
    </row>
    <row r="99" spans="2:30" s="182" customFormat="1">
      <c r="B99" s="786"/>
      <c r="C99" s="217" t="s">
        <v>110</v>
      </c>
      <c r="D99" s="604"/>
      <c r="E99" s="605"/>
      <c r="F99" s="627"/>
      <c r="G99" s="627"/>
      <c r="H99" s="627"/>
      <c r="I99" s="627"/>
      <c r="J99" s="627"/>
      <c r="K99" s="627"/>
      <c r="L99" s="627"/>
      <c r="M99" s="627"/>
      <c r="N99" s="627"/>
      <c r="O99" s="627"/>
      <c r="P99" s="627"/>
      <c r="Q99" s="273"/>
      <c r="R99" s="248"/>
      <c r="S99" s="248"/>
      <c r="T99" s="248"/>
      <c r="U99" s="248"/>
      <c r="V99" s="248"/>
      <c r="W99" s="248"/>
      <c r="X99" s="248"/>
    </row>
    <row r="100" spans="2:30" s="182" customFormat="1">
      <c r="B100" s="786"/>
      <c r="C100" s="217" t="s">
        <v>111</v>
      </c>
      <c r="D100" s="604"/>
      <c r="E100" s="605"/>
      <c r="F100" s="627"/>
      <c r="G100" s="627"/>
      <c r="H100" s="627"/>
      <c r="I100" s="627"/>
      <c r="J100" s="627"/>
      <c r="K100" s="627"/>
      <c r="L100" s="627"/>
      <c r="M100" s="627"/>
      <c r="N100" s="627"/>
      <c r="O100" s="627"/>
      <c r="P100" s="627"/>
      <c r="Q100" s="273"/>
      <c r="R100" s="248"/>
      <c r="S100" s="248"/>
      <c r="T100" s="248"/>
      <c r="U100" s="248"/>
      <c r="V100" s="248"/>
      <c r="W100" s="248"/>
      <c r="X100" s="248"/>
    </row>
    <row r="101" spans="2:30" s="182" customFormat="1">
      <c r="B101" s="787"/>
      <c r="C101" s="223" t="s">
        <v>112</v>
      </c>
      <c r="D101" s="620"/>
      <c r="E101" s="263"/>
      <c r="F101" s="249">
        <v>30</v>
      </c>
      <c r="G101" s="249">
        <v>30</v>
      </c>
      <c r="H101" s="249">
        <v>30</v>
      </c>
      <c r="I101" s="249">
        <v>30</v>
      </c>
      <c r="J101" s="249">
        <v>30</v>
      </c>
      <c r="K101" s="249">
        <v>30</v>
      </c>
      <c r="L101" s="249">
        <v>30</v>
      </c>
      <c r="M101" s="249">
        <v>30</v>
      </c>
      <c r="N101" s="249">
        <v>30</v>
      </c>
      <c r="O101" s="249">
        <v>30</v>
      </c>
      <c r="P101" s="249">
        <v>30</v>
      </c>
      <c r="Q101" s="250">
        <v>30</v>
      </c>
    </row>
    <row r="102" spans="2:30" s="182" customFormat="1">
      <c r="B102" s="785" t="s">
        <v>131</v>
      </c>
      <c r="C102" s="275" t="s">
        <v>132</v>
      </c>
      <c r="D102" s="630"/>
      <c r="E102" s="276"/>
      <c r="F102" s="277">
        <f t="shared" ref="F102:Q102" si="27">(F22*((F25*F30)+(F26*F34)+(F27*F38)+(F28*F42)))+(F23*(1+(((F46*F51)+(F47*F55)+(F48*F59)+(F49*F63)))*(1+F12)-1))</f>
        <v>0</v>
      </c>
      <c r="G102" s="277">
        <f t="shared" si="27"/>
        <v>0</v>
      </c>
      <c r="H102" s="277">
        <f t="shared" si="27"/>
        <v>0</v>
      </c>
      <c r="I102" s="277">
        <f t="shared" si="27"/>
        <v>0</v>
      </c>
      <c r="J102" s="277">
        <f t="shared" si="27"/>
        <v>0</v>
      </c>
      <c r="K102" s="277">
        <f t="shared" si="27"/>
        <v>0</v>
      </c>
      <c r="L102" s="277">
        <f t="shared" si="27"/>
        <v>0</v>
      </c>
      <c r="M102" s="277">
        <f t="shared" si="27"/>
        <v>0</v>
      </c>
      <c r="N102" s="277">
        <f t="shared" si="27"/>
        <v>0</v>
      </c>
      <c r="O102" s="277">
        <f t="shared" si="27"/>
        <v>0</v>
      </c>
      <c r="P102" s="277">
        <f t="shared" si="27"/>
        <v>0</v>
      </c>
      <c r="Q102" s="278">
        <f t="shared" si="27"/>
        <v>0</v>
      </c>
      <c r="S102" s="279"/>
      <c r="T102" s="279"/>
      <c r="U102" s="279"/>
      <c r="V102" s="279"/>
      <c r="W102" s="279"/>
      <c r="X102" s="279"/>
      <c r="Y102" s="279"/>
      <c r="Z102" s="279"/>
      <c r="AA102" s="279"/>
      <c r="AB102" s="279"/>
      <c r="AC102" s="279"/>
      <c r="AD102" s="279"/>
    </row>
    <row r="103" spans="2:30" s="182" customFormat="1">
      <c r="B103" s="787"/>
      <c r="C103" s="223" t="s">
        <v>133</v>
      </c>
      <c r="D103" s="626"/>
      <c r="E103" s="272"/>
      <c r="F103" s="280">
        <f t="shared" ref="F103" si="28">(F67*((F70*F75)+(F71*F78)+(F72*F81)+(F73*F84)))+(F68*((F87*F91)+(F88*F95)+(F89*F99)))</f>
        <v>0</v>
      </c>
      <c r="G103" s="280">
        <f t="shared" ref="G103:Q103" si="29">(G67*((G70*G75)+(G71*G78)+(G72*G81)+(G73*G84)))+(G68*((G87*G91)+(G88*G95)+(G89*G99)))</f>
        <v>0</v>
      </c>
      <c r="H103" s="280">
        <f t="shared" si="29"/>
        <v>0</v>
      </c>
      <c r="I103" s="280">
        <f t="shared" si="29"/>
        <v>0</v>
      </c>
      <c r="J103" s="280">
        <f t="shared" si="29"/>
        <v>0</v>
      </c>
      <c r="K103" s="280">
        <f t="shared" si="29"/>
        <v>0</v>
      </c>
      <c r="L103" s="280">
        <f t="shared" si="29"/>
        <v>0</v>
      </c>
      <c r="M103" s="280">
        <f t="shared" si="29"/>
        <v>0</v>
      </c>
      <c r="N103" s="280">
        <f t="shared" si="29"/>
        <v>0</v>
      </c>
      <c r="O103" s="280">
        <f t="shared" si="29"/>
        <v>0</v>
      </c>
      <c r="P103" s="280">
        <f t="shared" si="29"/>
        <v>0</v>
      </c>
      <c r="Q103" s="281">
        <f t="shared" si="29"/>
        <v>0</v>
      </c>
      <c r="S103" s="279"/>
      <c r="T103" s="279"/>
      <c r="U103" s="279"/>
      <c r="V103" s="279"/>
      <c r="W103" s="279"/>
      <c r="X103" s="279"/>
      <c r="Y103" s="279"/>
      <c r="Z103" s="279"/>
      <c r="AA103" s="279"/>
      <c r="AB103" s="279"/>
      <c r="AC103" s="279"/>
      <c r="AD103" s="279"/>
    </row>
    <row r="104" spans="2:30" s="182" customFormat="1">
      <c r="B104" s="785" t="s">
        <v>134</v>
      </c>
      <c r="C104" s="275" t="s">
        <v>132</v>
      </c>
      <c r="D104" s="630"/>
      <c r="E104" s="276"/>
      <c r="F104" s="277">
        <f t="shared" ref="F104:Q104" si="30">(F22*((F25*F31)+(F26*F35)+(F27*F39)+(F28*F43)))+(F23*(1+(((F46*F52)+(F47*F56)+(F48*F60)+(F49*F64)))*(1+F12)-1))</f>
        <v>0</v>
      </c>
      <c r="G104" s="277">
        <f t="shared" si="30"/>
        <v>0</v>
      </c>
      <c r="H104" s="277">
        <f t="shared" si="30"/>
        <v>0</v>
      </c>
      <c r="I104" s="277">
        <f t="shared" si="30"/>
        <v>0</v>
      </c>
      <c r="J104" s="277">
        <f t="shared" si="30"/>
        <v>0</v>
      </c>
      <c r="K104" s="277">
        <f t="shared" si="30"/>
        <v>0</v>
      </c>
      <c r="L104" s="277">
        <f t="shared" si="30"/>
        <v>0</v>
      </c>
      <c r="M104" s="277">
        <f t="shared" si="30"/>
        <v>0</v>
      </c>
      <c r="N104" s="277">
        <f t="shared" si="30"/>
        <v>0</v>
      </c>
      <c r="O104" s="277">
        <f t="shared" si="30"/>
        <v>0</v>
      </c>
      <c r="P104" s="277">
        <f t="shared" si="30"/>
        <v>0</v>
      </c>
      <c r="Q104" s="278">
        <f t="shared" si="30"/>
        <v>0</v>
      </c>
      <c r="S104" s="279"/>
      <c r="T104" s="279"/>
      <c r="U104" s="279"/>
      <c r="V104" s="279"/>
      <c r="W104" s="279"/>
      <c r="X104" s="279"/>
      <c r="Y104" s="279"/>
      <c r="Z104" s="279"/>
      <c r="AA104" s="279"/>
      <c r="AB104" s="279"/>
      <c r="AC104" s="279"/>
      <c r="AD104" s="279"/>
    </row>
    <row r="105" spans="2:30" s="182" customFormat="1">
      <c r="B105" s="787"/>
      <c r="C105" s="223" t="s">
        <v>133</v>
      </c>
      <c r="D105" s="626"/>
      <c r="E105" s="272"/>
      <c r="F105" s="280">
        <f t="shared" ref="F105:Q105" si="31">(F67*((F70*F75)+(F71*F78)+(F72*F81)+(F73*F84)))+(F68*((F87*F92)+(F88*F96)+(F89*F100)))</f>
        <v>0</v>
      </c>
      <c r="G105" s="280">
        <f t="shared" si="31"/>
        <v>0</v>
      </c>
      <c r="H105" s="280">
        <f t="shared" si="31"/>
        <v>0</v>
      </c>
      <c r="I105" s="280">
        <f t="shared" si="31"/>
        <v>0</v>
      </c>
      <c r="J105" s="280">
        <f t="shared" si="31"/>
        <v>0</v>
      </c>
      <c r="K105" s="280">
        <f t="shared" si="31"/>
        <v>0</v>
      </c>
      <c r="L105" s="280">
        <f t="shared" si="31"/>
        <v>0</v>
      </c>
      <c r="M105" s="280">
        <f t="shared" si="31"/>
        <v>0</v>
      </c>
      <c r="N105" s="280">
        <f t="shared" si="31"/>
        <v>0</v>
      </c>
      <c r="O105" s="280">
        <f t="shared" si="31"/>
        <v>0</v>
      </c>
      <c r="P105" s="280">
        <f t="shared" si="31"/>
        <v>0</v>
      </c>
      <c r="Q105" s="281">
        <f t="shared" si="31"/>
        <v>0</v>
      </c>
      <c r="S105" s="279"/>
      <c r="T105" s="279"/>
      <c r="U105" s="279"/>
      <c r="V105" s="279"/>
      <c r="W105" s="279"/>
      <c r="X105" s="279"/>
      <c r="Y105" s="279"/>
      <c r="Z105" s="279"/>
      <c r="AA105" s="279"/>
      <c r="AB105" s="279"/>
      <c r="AC105" s="279"/>
      <c r="AD105" s="279"/>
    </row>
    <row r="106" spans="2:30" s="182" customFormat="1">
      <c r="B106" s="785" t="s">
        <v>135</v>
      </c>
      <c r="C106" s="282" t="s">
        <v>89</v>
      </c>
      <c r="D106" s="600"/>
      <c r="E106" s="197"/>
      <c r="F106" s="215"/>
      <c r="G106" s="215"/>
      <c r="H106" s="215"/>
      <c r="I106" s="215"/>
      <c r="J106" s="215"/>
      <c r="K106" s="215"/>
      <c r="L106" s="215"/>
      <c r="M106" s="215"/>
      <c r="N106" s="215"/>
      <c r="O106" s="215"/>
      <c r="P106" s="215"/>
      <c r="Q106" s="216"/>
      <c r="S106" s="283"/>
      <c r="T106" s="283"/>
      <c r="U106" s="283"/>
      <c r="V106" s="283"/>
      <c r="W106" s="283"/>
      <c r="X106" s="283"/>
      <c r="Y106" s="283"/>
      <c r="Z106" s="283"/>
      <c r="AA106" s="283"/>
      <c r="AB106" s="283"/>
      <c r="AC106" s="283"/>
      <c r="AD106" s="283"/>
    </row>
    <row r="107" spans="2:30" s="182" customFormat="1" ht="16">
      <c r="B107" s="787"/>
      <c r="C107" s="199" t="s">
        <v>136</v>
      </c>
      <c r="D107" s="601"/>
      <c r="E107" s="200"/>
      <c r="F107" s="284">
        <f t="shared" ref="F107:Q107" si="32">F106/F8</f>
        <v>0</v>
      </c>
      <c r="G107" s="284">
        <f t="shared" si="32"/>
        <v>0</v>
      </c>
      <c r="H107" s="284">
        <f t="shared" si="32"/>
        <v>0</v>
      </c>
      <c r="I107" s="284">
        <f t="shared" si="32"/>
        <v>0</v>
      </c>
      <c r="J107" s="284">
        <f t="shared" si="32"/>
        <v>0</v>
      </c>
      <c r="K107" s="284">
        <f t="shared" si="32"/>
        <v>0</v>
      </c>
      <c r="L107" s="284">
        <f t="shared" si="32"/>
        <v>0</v>
      </c>
      <c r="M107" s="284">
        <f t="shared" si="32"/>
        <v>0</v>
      </c>
      <c r="N107" s="284">
        <f t="shared" si="32"/>
        <v>0</v>
      </c>
      <c r="O107" s="284">
        <f t="shared" si="32"/>
        <v>0</v>
      </c>
      <c r="P107" s="284">
        <f t="shared" si="32"/>
        <v>0</v>
      </c>
      <c r="Q107" s="285">
        <f t="shared" si="32"/>
        <v>0</v>
      </c>
      <c r="S107" s="279"/>
      <c r="T107" s="279"/>
      <c r="U107" s="279"/>
      <c r="V107" s="279"/>
      <c r="W107" s="279"/>
      <c r="X107" s="279"/>
      <c r="Y107" s="279"/>
      <c r="Z107" s="279"/>
      <c r="AA107" s="279"/>
      <c r="AB107" s="279"/>
      <c r="AC107" s="279"/>
      <c r="AD107" s="279"/>
    </row>
    <row r="108" spans="2:30" s="182" customFormat="1">
      <c r="B108" s="785" t="s">
        <v>137</v>
      </c>
      <c r="C108" s="282" t="s">
        <v>89</v>
      </c>
      <c r="D108" s="600"/>
      <c r="E108" s="197"/>
      <c r="F108" s="215"/>
      <c r="G108" s="215"/>
      <c r="H108" s="215"/>
      <c r="I108" s="215"/>
      <c r="J108" s="215"/>
      <c r="K108" s="215"/>
      <c r="L108" s="215"/>
      <c r="M108" s="215"/>
      <c r="N108" s="215"/>
      <c r="O108" s="215"/>
      <c r="P108" s="215"/>
      <c r="Q108" s="216"/>
      <c r="S108" s="283"/>
      <c r="T108" s="283"/>
      <c r="U108" s="283"/>
      <c r="V108" s="283"/>
      <c r="W108" s="283"/>
      <c r="X108" s="283"/>
      <c r="Y108" s="283"/>
      <c r="Z108" s="283"/>
      <c r="AA108" s="283"/>
      <c r="AB108" s="283"/>
      <c r="AC108" s="283"/>
      <c r="AD108" s="283"/>
    </row>
    <row r="109" spans="2:30" s="182" customFormat="1" ht="16">
      <c r="B109" s="787"/>
      <c r="C109" s="199" t="s">
        <v>136</v>
      </c>
      <c r="D109" s="601"/>
      <c r="E109" s="200"/>
      <c r="F109" s="286">
        <f t="shared" ref="F109:Q109" si="33">F108/F8</f>
        <v>0</v>
      </c>
      <c r="G109" s="286">
        <f t="shared" si="33"/>
        <v>0</v>
      </c>
      <c r="H109" s="286">
        <f t="shared" si="33"/>
        <v>0</v>
      </c>
      <c r="I109" s="286">
        <f t="shared" si="33"/>
        <v>0</v>
      </c>
      <c r="J109" s="286">
        <f t="shared" si="33"/>
        <v>0</v>
      </c>
      <c r="K109" s="286">
        <f t="shared" si="33"/>
        <v>0</v>
      </c>
      <c r="L109" s="286">
        <f t="shared" si="33"/>
        <v>0</v>
      </c>
      <c r="M109" s="286">
        <f t="shared" si="33"/>
        <v>0</v>
      </c>
      <c r="N109" s="286">
        <f t="shared" si="33"/>
        <v>0</v>
      </c>
      <c r="O109" s="286">
        <f t="shared" si="33"/>
        <v>0</v>
      </c>
      <c r="P109" s="286">
        <f t="shared" si="33"/>
        <v>0</v>
      </c>
      <c r="Q109" s="287">
        <f t="shared" si="33"/>
        <v>0</v>
      </c>
      <c r="S109" s="279"/>
      <c r="T109" s="279"/>
      <c r="U109" s="279"/>
      <c r="V109" s="279"/>
      <c r="W109" s="279"/>
      <c r="X109" s="279"/>
      <c r="Y109" s="279"/>
      <c r="Z109" s="279"/>
      <c r="AA109" s="279"/>
      <c r="AB109" s="279"/>
      <c r="AC109" s="279"/>
      <c r="AD109" s="279"/>
    </row>
    <row r="110" spans="2:30" s="182" customFormat="1">
      <c r="B110" s="785" t="s">
        <v>138</v>
      </c>
      <c r="C110" s="282" t="s">
        <v>89</v>
      </c>
      <c r="D110" s="600"/>
      <c r="E110" s="197"/>
      <c r="F110" s="215"/>
      <c r="G110" s="215"/>
      <c r="H110" s="215"/>
      <c r="I110" s="215"/>
      <c r="J110" s="215"/>
      <c r="K110" s="215"/>
      <c r="L110" s="215"/>
      <c r="M110" s="215"/>
      <c r="N110" s="215"/>
      <c r="O110" s="215"/>
      <c r="P110" s="215"/>
      <c r="Q110" s="216"/>
      <c r="S110" s="283"/>
      <c r="T110" s="283"/>
      <c r="U110" s="283"/>
      <c r="V110" s="283"/>
      <c r="W110" s="283"/>
      <c r="X110" s="283"/>
      <c r="Y110" s="283"/>
      <c r="Z110" s="283"/>
      <c r="AA110" s="283"/>
      <c r="AB110" s="283"/>
      <c r="AC110" s="283"/>
      <c r="AD110" s="283"/>
    </row>
    <row r="111" spans="2:30" s="182" customFormat="1" ht="16">
      <c r="B111" s="787"/>
      <c r="C111" s="199" t="s">
        <v>136</v>
      </c>
      <c r="D111" s="601"/>
      <c r="E111" s="200"/>
      <c r="F111" s="284">
        <f t="shared" ref="F111:Q111" si="34">F110/F8</f>
        <v>0</v>
      </c>
      <c r="G111" s="284">
        <f t="shared" si="34"/>
        <v>0</v>
      </c>
      <c r="H111" s="284">
        <f t="shared" si="34"/>
        <v>0</v>
      </c>
      <c r="I111" s="284">
        <f t="shared" si="34"/>
        <v>0</v>
      </c>
      <c r="J111" s="284">
        <f t="shared" si="34"/>
        <v>0</v>
      </c>
      <c r="K111" s="284">
        <f t="shared" si="34"/>
        <v>0</v>
      </c>
      <c r="L111" s="284">
        <f t="shared" si="34"/>
        <v>0</v>
      </c>
      <c r="M111" s="284">
        <f t="shared" si="34"/>
        <v>0</v>
      </c>
      <c r="N111" s="284">
        <f t="shared" si="34"/>
        <v>0</v>
      </c>
      <c r="O111" s="284">
        <f t="shared" si="34"/>
        <v>0</v>
      </c>
      <c r="P111" s="284">
        <f t="shared" si="34"/>
        <v>0</v>
      </c>
      <c r="Q111" s="285">
        <f t="shared" si="34"/>
        <v>0</v>
      </c>
      <c r="S111" s="279"/>
      <c r="T111" s="279"/>
      <c r="U111" s="279"/>
      <c r="V111" s="279"/>
      <c r="W111" s="279"/>
      <c r="X111" s="279"/>
      <c r="Y111" s="279"/>
      <c r="Z111" s="279"/>
      <c r="AA111" s="279"/>
      <c r="AB111" s="279"/>
      <c r="AC111" s="279"/>
      <c r="AD111" s="279"/>
    </row>
    <row r="112" spans="2:30" s="182" customFormat="1">
      <c r="B112" s="785" t="s">
        <v>139</v>
      </c>
      <c r="C112" s="282" t="s">
        <v>89</v>
      </c>
      <c r="D112" s="600"/>
      <c r="E112" s="197"/>
      <c r="F112" s="215"/>
      <c r="G112" s="215"/>
      <c r="H112" s="215"/>
      <c r="I112" s="215"/>
      <c r="J112" s="215"/>
      <c r="K112" s="215"/>
      <c r="L112" s="215"/>
      <c r="M112" s="215"/>
      <c r="N112" s="215"/>
      <c r="O112" s="215"/>
      <c r="P112" s="215"/>
      <c r="Q112" s="216"/>
      <c r="S112" s="283"/>
      <c r="T112" s="283"/>
      <c r="U112" s="283"/>
      <c r="V112" s="283"/>
      <c r="W112" s="283"/>
      <c r="X112" s="283"/>
      <c r="Y112" s="283"/>
      <c r="Z112" s="283"/>
      <c r="AA112" s="283"/>
      <c r="AB112" s="283"/>
      <c r="AC112" s="283"/>
      <c r="AD112" s="283"/>
    </row>
    <row r="113" spans="2:30" s="182" customFormat="1" ht="16">
      <c r="B113" s="787"/>
      <c r="C113" s="199" t="s">
        <v>136</v>
      </c>
      <c r="D113" s="601"/>
      <c r="E113" s="200"/>
      <c r="F113" s="286">
        <f t="shared" ref="F113:Q113" si="35">F112/F8</f>
        <v>0</v>
      </c>
      <c r="G113" s="286">
        <f t="shared" si="35"/>
        <v>0</v>
      </c>
      <c r="H113" s="286">
        <f t="shared" si="35"/>
        <v>0</v>
      </c>
      <c r="I113" s="286">
        <f t="shared" si="35"/>
        <v>0</v>
      </c>
      <c r="J113" s="286">
        <f t="shared" si="35"/>
        <v>0</v>
      </c>
      <c r="K113" s="286">
        <f t="shared" si="35"/>
        <v>0</v>
      </c>
      <c r="L113" s="286">
        <f t="shared" si="35"/>
        <v>0</v>
      </c>
      <c r="M113" s="286">
        <f t="shared" si="35"/>
        <v>0</v>
      </c>
      <c r="N113" s="286">
        <f t="shared" si="35"/>
        <v>0</v>
      </c>
      <c r="O113" s="286">
        <f t="shared" si="35"/>
        <v>0</v>
      </c>
      <c r="P113" s="286">
        <f t="shared" si="35"/>
        <v>0</v>
      </c>
      <c r="Q113" s="287">
        <f t="shared" si="35"/>
        <v>0</v>
      </c>
      <c r="S113" s="279"/>
      <c r="T113" s="279"/>
      <c r="U113" s="279"/>
      <c r="V113" s="279"/>
      <c r="W113" s="279"/>
      <c r="X113" s="279"/>
      <c r="Y113" s="279"/>
      <c r="Z113" s="279"/>
      <c r="AA113" s="279"/>
      <c r="AB113" s="279"/>
      <c r="AC113" s="279"/>
      <c r="AD113" s="279"/>
    </row>
    <row r="114" spans="2:30" s="182" customFormat="1">
      <c r="B114" s="785" t="s">
        <v>140</v>
      </c>
      <c r="C114" s="282" t="s">
        <v>369</v>
      </c>
      <c r="D114" s="600"/>
      <c r="E114" s="197"/>
      <c r="F114" s="215"/>
      <c r="G114" s="215"/>
      <c r="H114" s="215"/>
      <c r="I114" s="215"/>
      <c r="J114" s="215"/>
      <c r="K114" s="215"/>
      <c r="L114" s="215"/>
      <c r="M114" s="215"/>
      <c r="N114" s="215"/>
      <c r="O114" s="215"/>
      <c r="P114" s="215"/>
      <c r="Q114" s="216"/>
      <c r="S114" s="283"/>
      <c r="T114" s="283"/>
      <c r="U114" s="283"/>
      <c r="V114" s="283"/>
      <c r="W114" s="283"/>
      <c r="X114" s="283"/>
      <c r="Y114" s="283"/>
      <c r="Z114" s="283"/>
      <c r="AA114" s="283"/>
      <c r="AB114" s="283"/>
      <c r="AC114" s="283"/>
      <c r="AD114" s="283"/>
    </row>
    <row r="115" spans="2:30" s="182" customFormat="1" ht="16">
      <c r="B115" s="786"/>
      <c r="C115" s="231" t="s">
        <v>370</v>
      </c>
      <c r="D115" s="606"/>
      <c r="E115" s="607"/>
      <c r="F115" s="221"/>
      <c r="G115" s="221"/>
      <c r="H115" s="221"/>
      <c r="I115" s="221"/>
      <c r="J115" s="221"/>
      <c r="K115" s="221"/>
      <c r="L115" s="221"/>
      <c r="M115" s="221"/>
      <c r="N115" s="221"/>
      <c r="O115" s="221"/>
      <c r="P115" s="221"/>
      <c r="Q115" s="222"/>
      <c r="S115" s="283"/>
      <c r="T115" s="283"/>
      <c r="U115" s="283"/>
      <c r="V115" s="283"/>
      <c r="W115" s="283"/>
      <c r="X115" s="283"/>
      <c r="Y115" s="283"/>
      <c r="Z115" s="283"/>
      <c r="AA115" s="283"/>
      <c r="AB115" s="283"/>
      <c r="AC115" s="283"/>
      <c r="AD115" s="283"/>
    </row>
    <row r="116" spans="2:30" s="182" customFormat="1" ht="16">
      <c r="B116" s="786"/>
      <c r="C116" s="231" t="s">
        <v>371</v>
      </c>
      <c r="D116" s="631"/>
      <c r="E116" s="632"/>
      <c r="F116" s="288">
        <f t="shared" ref="F116:Q116" si="36">F114+F115</f>
        <v>0</v>
      </c>
      <c r="G116" s="288">
        <f t="shared" si="36"/>
        <v>0</v>
      </c>
      <c r="H116" s="288">
        <f t="shared" si="36"/>
        <v>0</v>
      </c>
      <c r="I116" s="288">
        <f>I114+I115</f>
        <v>0</v>
      </c>
      <c r="J116" s="288">
        <f t="shared" si="36"/>
        <v>0</v>
      </c>
      <c r="K116" s="288">
        <f t="shared" si="36"/>
        <v>0</v>
      </c>
      <c r="L116" s="288">
        <f t="shared" si="36"/>
        <v>0</v>
      </c>
      <c r="M116" s="288">
        <f t="shared" si="36"/>
        <v>0</v>
      </c>
      <c r="N116" s="288">
        <f t="shared" si="36"/>
        <v>0</v>
      </c>
      <c r="O116" s="288">
        <f t="shared" si="36"/>
        <v>0</v>
      </c>
      <c r="P116" s="288">
        <f t="shared" si="36"/>
        <v>0</v>
      </c>
      <c r="Q116" s="289">
        <f t="shared" si="36"/>
        <v>0</v>
      </c>
      <c r="S116" s="283"/>
      <c r="T116" s="283"/>
      <c r="U116" s="283"/>
      <c r="V116" s="283"/>
      <c r="W116" s="283"/>
      <c r="X116" s="283"/>
      <c r="Y116" s="283"/>
      <c r="Z116" s="283"/>
      <c r="AA116" s="283"/>
      <c r="AB116" s="283"/>
      <c r="AC116" s="283"/>
      <c r="AD116" s="283"/>
    </row>
    <row r="117" spans="2:30" s="182" customFormat="1">
      <c r="B117" s="786"/>
      <c r="C117" s="290" t="s">
        <v>141</v>
      </c>
      <c r="D117" s="610"/>
      <c r="E117" s="232"/>
      <c r="F117" s="291">
        <f t="shared" ref="F117:Q117" si="37">F114/F$8</f>
        <v>0</v>
      </c>
      <c r="G117" s="291">
        <f t="shared" si="37"/>
        <v>0</v>
      </c>
      <c r="H117" s="291">
        <f t="shared" si="37"/>
        <v>0</v>
      </c>
      <c r="I117" s="291">
        <f t="shared" si="37"/>
        <v>0</v>
      </c>
      <c r="J117" s="291">
        <f t="shared" si="37"/>
        <v>0</v>
      </c>
      <c r="K117" s="291">
        <f t="shared" si="37"/>
        <v>0</v>
      </c>
      <c r="L117" s="291">
        <f t="shared" si="37"/>
        <v>0</v>
      </c>
      <c r="M117" s="291">
        <f t="shared" si="37"/>
        <v>0</v>
      </c>
      <c r="N117" s="291">
        <f t="shared" si="37"/>
        <v>0</v>
      </c>
      <c r="O117" s="291">
        <f t="shared" si="37"/>
        <v>0</v>
      </c>
      <c r="P117" s="291">
        <f t="shared" si="37"/>
        <v>0</v>
      </c>
      <c r="Q117" s="292">
        <f t="shared" si="37"/>
        <v>0</v>
      </c>
      <c r="S117" s="279"/>
      <c r="T117" s="279"/>
      <c r="U117" s="279"/>
      <c r="V117" s="279"/>
      <c r="W117" s="279"/>
      <c r="X117" s="279"/>
      <c r="Y117" s="279"/>
      <c r="Z117" s="279"/>
      <c r="AA117" s="279"/>
      <c r="AB117" s="279"/>
      <c r="AC117" s="279"/>
      <c r="AD117" s="279"/>
    </row>
    <row r="118" spans="2:30" s="182" customFormat="1" ht="16">
      <c r="B118" s="787"/>
      <c r="C118" s="199" t="s">
        <v>142</v>
      </c>
      <c r="D118" s="601"/>
      <c r="E118" s="200"/>
      <c r="F118" s="284">
        <f t="shared" ref="F118:Q118" si="38">F115/F$8</f>
        <v>0</v>
      </c>
      <c r="G118" s="284">
        <f t="shared" si="38"/>
        <v>0</v>
      </c>
      <c r="H118" s="284">
        <f t="shared" si="38"/>
        <v>0</v>
      </c>
      <c r="I118" s="284">
        <f t="shared" si="38"/>
        <v>0</v>
      </c>
      <c r="J118" s="284">
        <f t="shared" si="38"/>
        <v>0</v>
      </c>
      <c r="K118" s="284">
        <f t="shared" si="38"/>
        <v>0</v>
      </c>
      <c r="L118" s="284">
        <f t="shared" si="38"/>
        <v>0</v>
      </c>
      <c r="M118" s="284">
        <f t="shared" si="38"/>
        <v>0</v>
      </c>
      <c r="N118" s="284">
        <f t="shared" si="38"/>
        <v>0</v>
      </c>
      <c r="O118" s="284">
        <f t="shared" si="38"/>
        <v>0</v>
      </c>
      <c r="P118" s="284">
        <f t="shared" si="38"/>
        <v>0</v>
      </c>
      <c r="Q118" s="285">
        <f t="shared" si="38"/>
        <v>0</v>
      </c>
      <c r="S118" s="279"/>
      <c r="T118" s="279"/>
      <c r="U118" s="279"/>
      <c r="V118" s="279"/>
      <c r="W118" s="279"/>
      <c r="X118" s="279"/>
      <c r="Y118" s="279"/>
      <c r="Z118" s="279"/>
      <c r="AA118" s="279"/>
      <c r="AB118" s="279"/>
      <c r="AC118" s="279"/>
      <c r="AD118" s="279"/>
    </row>
    <row r="119" spans="2:30" s="182" customFormat="1">
      <c r="B119" s="785" t="s">
        <v>143</v>
      </c>
      <c r="C119" s="282" t="s">
        <v>144</v>
      </c>
      <c r="D119" s="600"/>
      <c r="E119" s="197"/>
      <c r="F119" s="215"/>
      <c r="G119" s="215"/>
      <c r="H119" s="215"/>
      <c r="I119" s="215"/>
      <c r="J119" s="215"/>
      <c r="K119" s="215"/>
      <c r="L119" s="215"/>
      <c r="M119" s="215"/>
      <c r="N119" s="215"/>
      <c r="O119" s="215"/>
      <c r="P119" s="215"/>
      <c r="Q119" s="216"/>
      <c r="S119" s="283"/>
      <c r="T119" s="283"/>
      <c r="U119" s="283"/>
      <c r="V119" s="283"/>
      <c r="W119" s="283"/>
      <c r="X119" s="283"/>
      <c r="Y119" s="283"/>
      <c r="Z119" s="283"/>
      <c r="AA119" s="283"/>
      <c r="AB119" s="283"/>
      <c r="AC119" s="283"/>
      <c r="AD119" s="283"/>
    </row>
    <row r="120" spans="2:30" s="182" customFormat="1" ht="16">
      <c r="B120" s="787"/>
      <c r="C120" s="199" t="s">
        <v>136</v>
      </c>
      <c r="D120" s="601"/>
      <c r="E120" s="200"/>
      <c r="F120" s="286">
        <f t="shared" ref="F120:Q120" si="39">F119/F$8</f>
        <v>0</v>
      </c>
      <c r="G120" s="286">
        <f t="shared" si="39"/>
        <v>0</v>
      </c>
      <c r="H120" s="286">
        <f t="shared" si="39"/>
        <v>0</v>
      </c>
      <c r="I120" s="286">
        <f t="shared" si="39"/>
        <v>0</v>
      </c>
      <c r="J120" s="286">
        <f t="shared" si="39"/>
        <v>0</v>
      </c>
      <c r="K120" s="286">
        <f t="shared" si="39"/>
        <v>0</v>
      </c>
      <c r="L120" s="286">
        <f t="shared" si="39"/>
        <v>0</v>
      </c>
      <c r="M120" s="286">
        <f t="shared" si="39"/>
        <v>0</v>
      </c>
      <c r="N120" s="286">
        <f t="shared" si="39"/>
        <v>0</v>
      </c>
      <c r="O120" s="286">
        <f t="shared" si="39"/>
        <v>0</v>
      </c>
      <c r="P120" s="286">
        <f t="shared" si="39"/>
        <v>0</v>
      </c>
      <c r="Q120" s="287">
        <f t="shared" si="39"/>
        <v>0</v>
      </c>
      <c r="S120" s="279"/>
      <c r="T120" s="279"/>
      <c r="U120" s="279"/>
      <c r="V120" s="279"/>
      <c r="W120" s="279"/>
      <c r="X120" s="279"/>
      <c r="Y120" s="279"/>
      <c r="Z120" s="279"/>
      <c r="AA120" s="279"/>
      <c r="AB120" s="279"/>
      <c r="AC120" s="279"/>
      <c r="AD120" s="279"/>
    </row>
    <row r="121" spans="2:30" s="182" customFormat="1" ht="16">
      <c r="B121" s="293"/>
      <c r="C121" s="294"/>
      <c r="D121" s="283"/>
      <c r="E121" s="283"/>
      <c r="F121" s="283"/>
      <c r="G121" s="283"/>
      <c r="H121" s="283"/>
      <c r="I121" s="283"/>
      <c r="J121" s="283"/>
      <c r="K121" s="283"/>
      <c r="L121" s="283"/>
      <c r="M121" s="283"/>
      <c r="N121" s="283"/>
      <c r="O121" s="283"/>
      <c r="P121" s="283"/>
      <c r="Q121" s="283"/>
    </row>
    <row r="122" spans="2:30" ht="18">
      <c r="C122" s="99" t="s">
        <v>145</v>
      </c>
    </row>
    <row r="123" spans="2:30">
      <c r="C123" s="295" t="s">
        <v>146</v>
      </c>
      <c r="D123" s="296"/>
      <c r="E123" s="296">
        <v>45291</v>
      </c>
      <c r="F123" s="296">
        <v>45657</v>
      </c>
      <c r="G123" s="296">
        <v>46022</v>
      </c>
      <c r="H123" s="296">
        <v>46387</v>
      </c>
      <c r="I123" s="296">
        <v>46752</v>
      </c>
      <c r="J123" s="296">
        <v>47118</v>
      </c>
      <c r="K123" s="296">
        <v>47483</v>
      </c>
      <c r="L123" s="296">
        <v>47848</v>
      </c>
      <c r="M123" s="296">
        <v>48213</v>
      </c>
      <c r="N123" s="296">
        <v>48579</v>
      </c>
      <c r="O123" s="296">
        <v>48944</v>
      </c>
      <c r="P123" s="296">
        <v>48945</v>
      </c>
      <c r="Q123" s="738">
        <v>49311</v>
      </c>
    </row>
    <row r="124" spans="2:30" s="31" customFormat="1">
      <c r="C124" s="297" t="s">
        <v>147</v>
      </c>
      <c r="D124" s="298"/>
      <c r="E124" s="298"/>
      <c r="F124" s="298">
        <f>-'Deuda a emitir'!F106</f>
        <v>0</v>
      </c>
      <c r="G124" s="298">
        <f>-'Deuda a emitir'!G106</f>
        <v>0</v>
      </c>
      <c r="H124" s="298">
        <f>-'Deuda a emitir'!H106</f>
        <v>0</v>
      </c>
      <c r="I124" s="298">
        <f>-'Deuda a emitir'!I106</f>
        <v>0</v>
      </c>
      <c r="J124" s="298">
        <f>-'Deuda a emitir'!J106</f>
        <v>0</v>
      </c>
      <c r="K124" s="298">
        <f>-'Deuda a emitir'!K106</f>
        <v>0</v>
      </c>
      <c r="L124" s="298">
        <f>-'Deuda a emitir'!L106</f>
        <v>0</v>
      </c>
      <c r="M124" s="298">
        <f>-'Deuda a emitir'!M106</f>
        <v>0</v>
      </c>
      <c r="N124" s="298">
        <f>-'Deuda a emitir'!N106</f>
        <v>0</v>
      </c>
      <c r="O124" s="298">
        <f>-'Deuda a emitir'!O106</f>
        <v>0</v>
      </c>
      <c r="P124" s="298">
        <f>-'Deuda a emitir'!P106</f>
        <v>0</v>
      </c>
      <c r="Q124" s="739">
        <f>-'Deuda a emitir'!Q106</f>
        <v>0</v>
      </c>
    </row>
    <row r="125" spans="2:30" s="31" customFormat="1">
      <c r="C125" s="299" t="s">
        <v>33</v>
      </c>
      <c r="D125" s="300"/>
      <c r="E125" s="300"/>
      <c r="F125" s="300">
        <f t="shared" ref="F125:Q125" si="40">SUM(F126,F129,F132)</f>
        <v>62434</v>
      </c>
      <c r="G125" s="300" t="e">
        <f t="shared" si="40"/>
        <v>#DIV/0!</v>
      </c>
      <c r="H125" s="300" t="e">
        <f t="shared" si="40"/>
        <v>#DIV/0!</v>
      </c>
      <c r="I125" s="300" t="e">
        <f t="shared" si="40"/>
        <v>#DIV/0!</v>
      </c>
      <c r="J125" s="300" t="e">
        <f t="shared" si="40"/>
        <v>#DIV/0!</v>
      </c>
      <c r="K125" s="300" t="e">
        <f t="shared" si="40"/>
        <v>#DIV/0!</v>
      </c>
      <c r="L125" s="300" t="e">
        <f t="shared" si="40"/>
        <v>#DIV/0!</v>
      </c>
      <c r="M125" s="300" t="e">
        <f t="shared" si="40"/>
        <v>#DIV/0!</v>
      </c>
      <c r="N125" s="300" t="e">
        <f t="shared" si="40"/>
        <v>#DIV/0!</v>
      </c>
      <c r="O125" s="300" t="e">
        <f t="shared" si="40"/>
        <v>#DIV/0!</v>
      </c>
      <c r="P125" s="300" t="e">
        <f t="shared" si="40"/>
        <v>#DIV/0!</v>
      </c>
      <c r="Q125" s="549" t="e">
        <f t="shared" si="40"/>
        <v>#DIV/0!</v>
      </c>
    </row>
    <row r="126" spans="2:30" s="31" customFormat="1">
      <c r="C126" s="301" t="s">
        <v>148</v>
      </c>
      <c r="D126" s="740"/>
      <c r="E126" s="740"/>
      <c r="F126" s="740">
        <f t="shared" ref="F126:Q126" si="41">SUM(F127:F128)</f>
        <v>0</v>
      </c>
      <c r="G126" s="740" t="e">
        <f t="shared" si="41"/>
        <v>#DIV/0!</v>
      </c>
      <c r="H126" s="740" t="e">
        <f t="shared" si="41"/>
        <v>#DIV/0!</v>
      </c>
      <c r="I126" s="740" t="e">
        <f t="shared" si="41"/>
        <v>#DIV/0!</v>
      </c>
      <c r="J126" s="740" t="e">
        <f t="shared" si="41"/>
        <v>#DIV/0!</v>
      </c>
      <c r="K126" s="740" t="e">
        <f t="shared" si="41"/>
        <v>#DIV/0!</v>
      </c>
      <c r="L126" s="740" t="e">
        <f t="shared" si="41"/>
        <v>#DIV/0!</v>
      </c>
      <c r="M126" s="740" t="e">
        <f t="shared" si="41"/>
        <v>#DIV/0!</v>
      </c>
      <c r="N126" s="740" t="e">
        <f t="shared" si="41"/>
        <v>#DIV/0!</v>
      </c>
      <c r="O126" s="740" t="e">
        <f t="shared" si="41"/>
        <v>#DIV/0!</v>
      </c>
      <c r="P126" s="740" t="e">
        <f t="shared" si="41"/>
        <v>#DIV/0!</v>
      </c>
      <c r="Q126" s="551" t="e">
        <f t="shared" si="41"/>
        <v>#DIV/0!</v>
      </c>
    </row>
    <row r="127" spans="2:30" s="31" customFormat="1">
      <c r="C127" s="302" t="s">
        <v>149</v>
      </c>
      <c r="D127" s="303"/>
      <c r="E127" s="303"/>
      <c r="F127" s="303">
        <f>+'Insumos externos'!E39*'Deuda a emitir'!F16/1000</f>
        <v>0</v>
      </c>
      <c r="G127" s="303">
        <f>'Insumos externos'!E58*'Deuda a emitir'!G16/1000</f>
        <v>0</v>
      </c>
      <c r="H127" s="303">
        <f>'Insumos externos'!F25*'Deuda a emitir'!H16/1000</f>
        <v>0</v>
      </c>
      <c r="I127" s="303">
        <f>'Insumos externos'!G25*'Deuda a emitir'!I16/1000</f>
        <v>0</v>
      </c>
      <c r="J127" s="303">
        <f>'Insumos externos'!H25*'Deuda a emitir'!J16/1000</f>
        <v>0</v>
      </c>
      <c r="K127" s="303">
        <f>'Insumos externos'!I25*'Deuda a emitir'!K16/1000</f>
        <v>0</v>
      </c>
      <c r="L127" s="303">
        <f>'Insumos externos'!J25*'Deuda a emitir'!L16/1000</f>
        <v>0</v>
      </c>
      <c r="M127" s="303">
        <f>'Insumos externos'!K25*'Deuda a emitir'!M16/1000</f>
        <v>0</v>
      </c>
      <c r="N127" s="303">
        <f>'Insumos externos'!L25*'Deuda a emitir'!N16/1000</f>
        <v>0</v>
      </c>
      <c r="O127" s="303">
        <f>'Insumos externos'!M25*'Deuda a emitir'!O16/1000</f>
        <v>0</v>
      </c>
      <c r="P127" s="303">
        <f>'Insumos externos'!N25*'Deuda a emitir'!P16/1000</f>
        <v>0</v>
      </c>
      <c r="Q127" s="483">
        <f>'Insumos externos'!O25*'Deuda a emitir'!Q16/1000</f>
        <v>0</v>
      </c>
    </row>
    <row r="128" spans="2:30" s="31" customFormat="1">
      <c r="C128" s="302" t="s">
        <v>150</v>
      </c>
      <c r="D128" s="303"/>
      <c r="E128" s="303"/>
      <c r="F128" s="303">
        <f>'Deuda a emitir'!F470+'Deuda a emitir'!F590</f>
        <v>0</v>
      </c>
      <c r="G128" s="303" t="e">
        <f>('Deuda a emitir'!G470+'Deuda a emitir'!G590)*0</f>
        <v>#DIV/0!</v>
      </c>
      <c r="H128" s="303" t="e">
        <f>'Deuda a emitir'!H470+'Deuda a emitir'!H590</f>
        <v>#DIV/0!</v>
      </c>
      <c r="I128" s="303" t="e">
        <f>'Deuda a emitir'!I470+'Deuda a emitir'!I590</f>
        <v>#DIV/0!</v>
      </c>
      <c r="J128" s="303" t="e">
        <f>'Deuda a emitir'!J470+'Deuda a emitir'!J590</f>
        <v>#DIV/0!</v>
      </c>
      <c r="K128" s="303" t="e">
        <f>'Deuda a emitir'!K470+'Deuda a emitir'!K590</f>
        <v>#DIV/0!</v>
      </c>
      <c r="L128" s="303" t="e">
        <f>'Deuda a emitir'!L470+'Deuda a emitir'!L590</f>
        <v>#DIV/0!</v>
      </c>
      <c r="M128" s="303" t="e">
        <f>'Deuda a emitir'!M470+'Deuda a emitir'!M590</f>
        <v>#DIV/0!</v>
      </c>
      <c r="N128" s="303" t="e">
        <f>'Deuda a emitir'!N470+'Deuda a emitir'!N590</f>
        <v>#DIV/0!</v>
      </c>
      <c r="O128" s="303" t="e">
        <f>'Deuda a emitir'!O470+'Deuda a emitir'!O590</f>
        <v>#DIV/0!</v>
      </c>
      <c r="P128" s="303" t="e">
        <f>'Deuda a emitir'!P470+'Deuda a emitir'!P590</f>
        <v>#DIV/0!</v>
      </c>
      <c r="Q128" s="483" t="e">
        <f>'Deuda a emitir'!Q470+'Deuda a emitir'!Q590</f>
        <v>#DIV/0!</v>
      </c>
    </row>
    <row r="129" spans="3:18" s="31" customFormat="1">
      <c r="C129" s="301" t="s">
        <v>151</v>
      </c>
      <c r="D129" s="740"/>
      <c r="E129" s="740"/>
      <c r="F129" s="740">
        <f t="shared" ref="F129:P129" si="42">SUM(F130:F131)</f>
        <v>50290</v>
      </c>
      <c r="G129" s="740">
        <f t="shared" si="42"/>
        <v>51735</v>
      </c>
      <c r="H129" s="740" t="e">
        <f t="shared" si="42"/>
        <v>#DIV/0!</v>
      </c>
      <c r="I129" s="740" t="e">
        <f t="shared" si="42"/>
        <v>#DIV/0!</v>
      </c>
      <c r="J129" s="740" t="e">
        <f t="shared" si="42"/>
        <v>#DIV/0!</v>
      </c>
      <c r="K129" s="740" t="e">
        <f t="shared" si="42"/>
        <v>#DIV/0!</v>
      </c>
      <c r="L129" s="740" t="e">
        <f t="shared" si="42"/>
        <v>#DIV/0!</v>
      </c>
      <c r="M129" s="740" t="e">
        <f t="shared" si="42"/>
        <v>#DIV/0!</v>
      </c>
      <c r="N129" s="740" t="e">
        <f t="shared" si="42"/>
        <v>#DIV/0!</v>
      </c>
      <c r="O129" s="740" t="e">
        <f t="shared" si="42"/>
        <v>#DIV/0!</v>
      </c>
      <c r="P129" s="740" t="e">
        <f t="shared" si="42"/>
        <v>#DIV/0!</v>
      </c>
      <c r="Q129" s="551" t="e">
        <f t="shared" ref="Q129" si="43">SUM(Q130:Q131)</f>
        <v>#DIV/0!</v>
      </c>
    </row>
    <row r="130" spans="3:18" s="31" customFormat="1">
      <c r="C130" s="304" t="s">
        <v>149</v>
      </c>
      <c r="D130" s="303"/>
      <c r="E130" s="303"/>
      <c r="F130" s="303">
        <f>'Insumos externos'!I38</f>
        <v>50290</v>
      </c>
      <c r="G130" s="303">
        <f>'Insumos externos'!I57</f>
        <v>51735</v>
      </c>
      <c r="H130" s="303">
        <f>+'Insumos externos'!F11/1000</f>
        <v>28328.392745031928</v>
      </c>
      <c r="I130" s="303">
        <f>+'Insumos externos'!G11/1000</f>
        <v>26215.698614925677</v>
      </c>
      <c r="J130" s="303">
        <f>+'Insumos externos'!H11/1000</f>
        <v>24322.325778194405</v>
      </c>
      <c r="K130" s="303">
        <f>+'Insumos externos'!I11/1000</f>
        <v>22465.133788063362</v>
      </c>
      <c r="L130" s="303">
        <f>+'Insumos externos'!J11/1000</f>
        <v>22115.475646455689</v>
      </c>
      <c r="M130" s="303">
        <f>+'Insumos externos'!K11/1000</f>
        <v>20546.359583509358</v>
      </c>
      <c r="N130" s="303">
        <f>+'Insumos externos'!L11/1000</f>
        <v>18369.224694379642</v>
      </c>
      <c r="O130" s="303">
        <f>+'Insumos externos'!M11/1000</f>
        <v>16584.357668746023</v>
      </c>
      <c r="P130" s="303">
        <f>+'Insumos externos'!N11/1000</f>
        <v>13119.108154746462</v>
      </c>
      <c r="Q130" s="483">
        <f>+'Insumos externos'!O11/1000</f>
        <v>11270.628739091359</v>
      </c>
    </row>
    <row r="131" spans="3:18" s="31" customFormat="1">
      <c r="C131" s="302" t="s">
        <v>150</v>
      </c>
      <c r="D131" s="303"/>
      <c r="E131" s="303"/>
      <c r="F131" s="303">
        <f>'Deuda a emitir'!F167+'Deuda a emitir'!F310</f>
        <v>0</v>
      </c>
      <c r="G131" s="303">
        <f>('Deuda a emitir'!G167+'Deuda a emitir'!G310)*0</f>
        <v>0</v>
      </c>
      <c r="H131" s="303" t="e">
        <f>'Deuda a emitir'!H167+'Deuda a emitir'!H310</f>
        <v>#DIV/0!</v>
      </c>
      <c r="I131" s="303" t="e">
        <f>'Deuda a emitir'!I167+'Deuda a emitir'!I310</f>
        <v>#DIV/0!</v>
      </c>
      <c r="J131" s="303" t="e">
        <f>'Deuda a emitir'!J167+'Deuda a emitir'!J310</f>
        <v>#DIV/0!</v>
      </c>
      <c r="K131" s="303" t="e">
        <f>'Deuda a emitir'!K167+'Deuda a emitir'!K310</f>
        <v>#DIV/0!</v>
      </c>
      <c r="L131" s="303" t="e">
        <f>'Deuda a emitir'!L167+'Deuda a emitir'!L310</f>
        <v>#DIV/0!</v>
      </c>
      <c r="M131" s="303" t="e">
        <f>'Deuda a emitir'!M167+'Deuda a emitir'!M310</f>
        <v>#DIV/0!</v>
      </c>
      <c r="N131" s="303" t="e">
        <f>'Deuda a emitir'!N167+'Deuda a emitir'!N310</f>
        <v>#DIV/0!</v>
      </c>
      <c r="O131" s="303" t="e">
        <f>'Deuda a emitir'!O167+'Deuda a emitir'!O310</f>
        <v>#DIV/0!</v>
      </c>
      <c r="P131" s="303" t="e">
        <f>'Deuda a emitir'!P167+'Deuda a emitir'!P310</f>
        <v>#DIV/0!</v>
      </c>
      <c r="Q131" s="483" t="e">
        <f>'Deuda a emitir'!Q167+'Deuda a emitir'!Q310</f>
        <v>#DIV/0!</v>
      </c>
    </row>
    <row r="132" spans="3:18" s="134" customFormat="1">
      <c r="C132" s="301" t="s">
        <v>152</v>
      </c>
      <c r="D132" s="740"/>
      <c r="E132" s="740"/>
      <c r="F132" s="740">
        <f t="shared" ref="F132:P132" si="44">SUM(F133:F134)</f>
        <v>12144</v>
      </c>
      <c r="G132" s="740">
        <f t="shared" si="44"/>
        <v>11444</v>
      </c>
      <c r="H132" s="740" t="e">
        <f t="shared" si="44"/>
        <v>#DIV/0!</v>
      </c>
      <c r="I132" s="740" t="e">
        <f t="shared" si="44"/>
        <v>#DIV/0!</v>
      </c>
      <c r="J132" s="740" t="e">
        <f t="shared" si="44"/>
        <v>#DIV/0!</v>
      </c>
      <c r="K132" s="740" t="e">
        <f t="shared" si="44"/>
        <v>#DIV/0!</v>
      </c>
      <c r="L132" s="740" t="e">
        <f t="shared" si="44"/>
        <v>#DIV/0!</v>
      </c>
      <c r="M132" s="740" t="e">
        <f t="shared" si="44"/>
        <v>#DIV/0!</v>
      </c>
      <c r="N132" s="740" t="e">
        <f t="shared" si="44"/>
        <v>#DIV/0!</v>
      </c>
      <c r="O132" s="740" t="e">
        <f t="shared" si="44"/>
        <v>#DIV/0!</v>
      </c>
      <c r="P132" s="740" t="e">
        <f t="shared" si="44"/>
        <v>#DIV/0!</v>
      </c>
      <c r="Q132" s="551" t="e">
        <f t="shared" ref="Q132" si="45">SUM(Q133:Q134)</f>
        <v>#DIV/0!</v>
      </c>
      <c r="R132" s="31"/>
    </row>
    <row r="133" spans="3:18" s="31" customFormat="1">
      <c r="C133" s="304" t="s">
        <v>149</v>
      </c>
      <c r="F133" s="303">
        <f>'Insumos externos'!I41*1+'Insumos externos'!C96/1000*0</f>
        <v>12144</v>
      </c>
      <c r="G133" s="303">
        <f>'Insumos externos'!I60*1+'Insumos externos'!D96/1000*0</f>
        <v>11444</v>
      </c>
      <c r="H133" s="31">
        <f>+'Insumos externos'!E96/1000</f>
        <v>0</v>
      </c>
      <c r="I133" s="31">
        <f>+'Insumos externos'!F96/1000</f>
        <v>0</v>
      </c>
      <c r="J133" s="31">
        <f>+'Insumos externos'!G96/1000</f>
        <v>0</v>
      </c>
      <c r="K133" s="31">
        <f>+'Insumos externos'!H96/1000</f>
        <v>0</v>
      </c>
      <c r="L133" s="31">
        <f>+'Insumos externos'!I96/1000</f>
        <v>0</v>
      </c>
      <c r="M133" s="31">
        <f>+'Insumos externos'!J96/1000</f>
        <v>0</v>
      </c>
      <c r="N133" s="31">
        <f>+'Insumos externos'!K96/1000</f>
        <v>0</v>
      </c>
      <c r="O133" s="31">
        <f>+'Insumos externos'!L96/1000</f>
        <v>0</v>
      </c>
      <c r="P133" s="31">
        <f>+'Insumos externos'!M96/1000</f>
        <v>0</v>
      </c>
      <c r="Q133" s="480">
        <f>+'Insumos externos'!N96/1000</f>
        <v>0</v>
      </c>
    </row>
    <row r="134" spans="3:18" s="31" customFormat="1">
      <c r="C134" s="302" t="s">
        <v>150</v>
      </c>
      <c r="F134" s="31">
        <f>'Deuda a emitir'!F313</f>
        <v>0</v>
      </c>
      <c r="G134" s="31">
        <f>'Deuda a emitir'!G313</f>
        <v>0</v>
      </c>
      <c r="H134" s="31" t="e">
        <f>'Deuda a emitir'!H313</f>
        <v>#DIV/0!</v>
      </c>
      <c r="I134" s="31" t="e">
        <f>'Deuda a emitir'!I313</f>
        <v>#DIV/0!</v>
      </c>
      <c r="J134" s="31" t="e">
        <f>'Deuda a emitir'!J313</f>
        <v>#DIV/0!</v>
      </c>
      <c r="K134" s="31" t="e">
        <f>'Deuda a emitir'!K313</f>
        <v>#DIV/0!</v>
      </c>
      <c r="L134" s="31" t="e">
        <f>'Deuda a emitir'!L313</f>
        <v>#DIV/0!</v>
      </c>
      <c r="M134" s="31" t="e">
        <f>'Deuda a emitir'!M313</f>
        <v>#DIV/0!</v>
      </c>
      <c r="N134" s="31" t="e">
        <f>'Deuda a emitir'!N313</f>
        <v>#DIV/0!</v>
      </c>
      <c r="O134" s="31" t="e">
        <f>'Deuda a emitir'!O313</f>
        <v>#DIV/0!</v>
      </c>
      <c r="P134" s="31" t="e">
        <f>'Deuda a emitir'!P313</f>
        <v>#DIV/0!</v>
      </c>
      <c r="Q134" s="480" t="e">
        <f>'Deuda a emitir'!Q313</f>
        <v>#DIV/0!</v>
      </c>
    </row>
    <row r="135" spans="3:18" s="31" customFormat="1">
      <c r="C135" s="305" t="s">
        <v>153</v>
      </c>
      <c r="D135" s="306"/>
      <c r="E135" s="306"/>
      <c r="F135" s="306">
        <f t="shared" ref="F135:Q135" si="46">F125+F124</f>
        <v>62434</v>
      </c>
      <c r="G135" s="306" t="e">
        <f t="shared" si="46"/>
        <v>#DIV/0!</v>
      </c>
      <c r="H135" s="306" t="e">
        <f t="shared" si="46"/>
        <v>#DIV/0!</v>
      </c>
      <c r="I135" s="306" t="e">
        <f t="shared" si="46"/>
        <v>#DIV/0!</v>
      </c>
      <c r="J135" s="306" t="e">
        <f t="shared" si="46"/>
        <v>#DIV/0!</v>
      </c>
      <c r="K135" s="306" t="e">
        <f t="shared" si="46"/>
        <v>#DIV/0!</v>
      </c>
      <c r="L135" s="306" t="e">
        <f t="shared" si="46"/>
        <v>#DIV/0!</v>
      </c>
      <c r="M135" s="306" t="e">
        <f t="shared" si="46"/>
        <v>#DIV/0!</v>
      </c>
      <c r="N135" s="306" t="e">
        <f t="shared" si="46"/>
        <v>#DIV/0!</v>
      </c>
      <c r="O135" s="306" t="e">
        <f t="shared" si="46"/>
        <v>#DIV/0!</v>
      </c>
      <c r="P135" s="306" t="e">
        <f t="shared" si="46"/>
        <v>#DIV/0!</v>
      </c>
      <c r="Q135" s="741" t="e">
        <f t="shared" si="46"/>
        <v>#DIV/0!</v>
      </c>
    </row>
    <row r="136" spans="3:18" s="307" customFormat="1">
      <c r="C136" s="742"/>
      <c r="Q136" s="743"/>
      <c r="R136" s="31"/>
    </row>
    <row r="137" spans="3:18" s="31" customFormat="1">
      <c r="C137" s="308" t="s">
        <v>154</v>
      </c>
      <c r="D137" s="309"/>
      <c r="E137" s="309"/>
      <c r="F137" s="309">
        <f t="shared" ref="F137:Q137" si="47">F135-F132</f>
        <v>50290</v>
      </c>
      <c r="G137" s="309" t="e">
        <f t="shared" si="47"/>
        <v>#DIV/0!</v>
      </c>
      <c r="H137" s="309" t="e">
        <f t="shared" si="47"/>
        <v>#DIV/0!</v>
      </c>
      <c r="I137" s="309" t="e">
        <f t="shared" si="47"/>
        <v>#DIV/0!</v>
      </c>
      <c r="J137" s="309" t="e">
        <f t="shared" si="47"/>
        <v>#DIV/0!</v>
      </c>
      <c r="K137" s="309" t="e">
        <f t="shared" si="47"/>
        <v>#DIV/0!</v>
      </c>
      <c r="L137" s="309" t="e">
        <f t="shared" si="47"/>
        <v>#DIV/0!</v>
      </c>
      <c r="M137" s="309" t="e">
        <f t="shared" si="47"/>
        <v>#DIV/0!</v>
      </c>
      <c r="N137" s="309" t="e">
        <f t="shared" si="47"/>
        <v>#DIV/0!</v>
      </c>
      <c r="O137" s="309" t="e">
        <f t="shared" si="47"/>
        <v>#DIV/0!</v>
      </c>
      <c r="P137" s="309" t="e">
        <f t="shared" si="47"/>
        <v>#DIV/0!</v>
      </c>
      <c r="Q137" s="545" t="e">
        <f t="shared" si="47"/>
        <v>#DIV/0!</v>
      </c>
    </row>
    <row r="138" spans="3:18" s="134" customFormat="1">
      <c r="C138" s="301" t="s">
        <v>155</v>
      </c>
      <c r="D138" s="740"/>
      <c r="E138" s="740"/>
      <c r="F138" s="740">
        <f t="shared" ref="F138:P138" si="48">SUM(F139:F140)</f>
        <v>0</v>
      </c>
      <c r="G138" s="740" t="e">
        <f t="shared" si="48"/>
        <v>#DIV/0!</v>
      </c>
      <c r="H138" s="740" t="e">
        <f t="shared" si="48"/>
        <v>#DIV/0!</v>
      </c>
      <c r="I138" s="740" t="e">
        <f t="shared" si="48"/>
        <v>#DIV/0!</v>
      </c>
      <c r="J138" s="740" t="e">
        <f t="shared" si="48"/>
        <v>#DIV/0!</v>
      </c>
      <c r="K138" s="740" t="e">
        <f t="shared" si="48"/>
        <v>#DIV/0!</v>
      </c>
      <c r="L138" s="740" t="e">
        <f t="shared" si="48"/>
        <v>#DIV/0!</v>
      </c>
      <c r="M138" s="740" t="e">
        <f t="shared" si="48"/>
        <v>#DIV/0!</v>
      </c>
      <c r="N138" s="740" t="e">
        <f t="shared" si="48"/>
        <v>#DIV/0!</v>
      </c>
      <c r="O138" s="740" t="e">
        <f t="shared" si="48"/>
        <v>#DIV/0!</v>
      </c>
      <c r="P138" s="740" t="e">
        <f t="shared" si="48"/>
        <v>#DIV/0!</v>
      </c>
      <c r="Q138" s="551" t="e">
        <f t="shared" ref="Q138" si="49">SUM(Q139:Q140)</f>
        <v>#DIV/0!</v>
      </c>
      <c r="R138" s="31"/>
    </row>
    <row r="139" spans="3:18" s="31" customFormat="1">
      <c r="C139" s="304" t="s">
        <v>156</v>
      </c>
      <c r="D139" s="303"/>
      <c r="E139" s="303"/>
      <c r="F139" s="303">
        <f>F137*'Deuda a emitir'!F19</f>
        <v>0</v>
      </c>
      <c r="G139" s="303" t="e">
        <f>G137*'Deuda a emitir'!G19</f>
        <v>#DIV/0!</v>
      </c>
      <c r="H139" s="303" t="e">
        <f>H137*'Deuda a emitir'!H19</f>
        <v>#DIV/0!</v>
      </c>
      <c r="I139" s="303" t="e">
        <f>I137*'Deuda a emitir'!I19</f>
        <v>#DIV/0!</v>
      </c>
      <c r="J139" s="303" t="e">
        <f>J137*'Deuda a emitir'!J19</f>
        <v>#DIV/0!</v>
      </c>
      <c r="K139" s="303" t="e">
        <f>K137*'Deuda a emitir'!K19</f>
        <v>#DIV/0!</v>
      </c>
      <c r="L139" s="303" t="e">
        <f>L137*'Deuda a emitir'!L19</f>
        <v>#DIV/0!</v>
      </c>
      <c r="M139" s="303" t="e">
        <f>M137*'Deuda a emitir'!M19</f>
        <v>#DIV/0!</v>
      </c>
      <c r="N139" s="303" t="e">
        <f>N137*'Deuda a emitir'!N19</f>
        <v>#DIV/0!</v>
      </c>
      <c r="O139" s="303" t="e">
        <f>O137*'Deuda a emitir'!O19</f>
        <v>#DIV/0!</v>
      </c>
      <c r="P139" s="303" t="e">
        <f>P137*'Deuda a emitir'!P19</f>
        <v>#DIV/0!</v>
      </c>
      <c r="Q139" s="483" t="e">
        <f>Q137*'Deuda a emitir'!Q19</f>
        <v>#DIV/0!</v>
      </c>
    </row>
    <row r="140" spans="3:18" s="31" customFormat="1">
      <c r="C140" s="304" t="s">
        <v>157</v>
      </c>
      <c r="D140" s="303"/>
      <c r="E140" s="303"/>
      <c r="F140" s="303">
        <f t="shared" ref="F140:P140" si="50">SUM(F141:F142)</f>
        <v>0</v>
      </c>
      <c r="G140" s="31">
        <f t="shared" si="50"/>
        <v>0</v>
      </c>
      <c r="H140" s="31">
        <f t="shared" si="50"/>
        <v>0</v>
      </c>
      <c r="I140" s="31">
        <f t="shared" si="50"/>
        <v>0</v>
      </c>
      <c r="J140" s="31">
        <f t="shared" si="50"/>
        <v>0</v>
      </c>
      <c r="K140" s="31">
        <f t="shared" si="50"/>
        <v>0</v>
      </c>
      <c r="L140" s="31" t="e">
        <f t="shared" si="50"/>
        <v>#DIV/0!</v>
      </c>
      <c r="M140" s="31" t="e">
        <f t="shared" si="50"/>
        <v>#DIV/0!</v>
      </c>
      <c r="N140" s="31" t="e">
        <f t="shared" si="50"/>
        <v>#DIV/0!</v>
      </c>
      <c r="O140" s="31" t="e">
        <f t="shared" si="50"/>
        <v>#DIV/0!</v>
      </c>
      <c r="P140" s="31" t="e">
        <f t="shared" si="50"/>
        <v>#DIV/0!</v>
      </c>
      <c r="Q140" s="480" t="e">
        <f t="shared" ref="Q140" si="51">SUM(Q141:Q142)</f>
        <v>#DIV/0!</v>
      </c>
    </row>
    <row r="141" spans="3:18" s="31" customFormat="1">
      <c r="C141" s="310" t="s">
        <v>105</v>
      </c>
      <c r="D141" s="303"/>
      <c r="E141" s="303"/>
      <c r="F141" s="303">
        <f>'Deuda a emitir'!F169</f>
        <v>0</v>
      </c>
      <c r="G141" s="31">
        <f>'Deuda a emitir'!G169</f>
        <v>0</v>
      </c>
      <c r="H141" s="31">
        <f>'Deuda a emitir'!H169</f>
        <v>0</v>
      </c>
      <c r="I141" s="31">
        <f>'Deuda a emitir'!I169</f>
        <v>0</v>
      </c>
      <c r="J141" s="31">
        <f>'Deuda a emitir'!J169</f>
        <v>0</v>
      </c>
      <c r="K141" s="31">
        <f>'Deuda a emitir'!K169</f>
        <v>0</v>
      </c>
      <c r="L141" s="31">
        <f>'Deuda a emitir'!L169</f>
        <v>0</v>
      </c>
      <c r="M141" s="31">
        <f>'Deuda a emitir'!M169</f>
        <v>0</v>
      </c>
      <c r="N141" s="31">
        <f>'Deuda a emitir'!N169</f>
        <v>0</v>
      </c>
      <c r="O141" s="31">
        <f>'Deuda a emitir'!O169</f>
        <v>0</v>
      </c>
      <c r="P141" s="31">
        <f>'Deuda a emitir'!P169</f>
        <v>0</v>
      </c>
      <c r="Q141" s="480" t="e">
        <f>'Deuda a emitir'!Q169</f>
        <v>#DIV/0!</v>
      </c>
    </row>
    <row r="142" spans="3:18" s="31" customFormat="1">
      <c r="C142" s="310" t="s">
        <v>79</v>
      </c>
      <c r="D142" s="303"/>
      <c r="E142" s="303"/>
      <c r="F142" s="303">
        <f>'Deuda a emitir'!F315</f>
        <v>0</v>
      </c>
      <c r="G142" s="31">
        <f>'Deuda a emitir'!G315</f>
        <v>0</v>
      </c>
      <c r="H142" s="31">
        <f>'Deuda a emitir'!H315</f>
        <v>0</v>
      </c>
      <c r="I142" s="31">
        <f>'Deuda a emitir'!I315</f>
        <v>0</v>
      </c>
      <c r="J142" s="31">
        <f>'Deuda a emitir'!J315</f>
        <v>0</v>
      </c>
      <c r="K142" s="31">
        <f>'Deuda a emitir'!K315</f>
        <v>0</v>
      </c>
      <c r="L142" s="31" t="e">
        <f>'Deuda a emitir'!L315</f>
        <v>#DIV/0!</v>
      </c>
      <c r="M142" s="31" t="e">
        <f>'Deuda a emitir'!M315</f>
        <v>#DIV/0!</v>
      </c>
      <c r="N142" s="31" t="e">
        <f>'Deuda a emitir'!N315</f>
        <v>#DIV/0!</v>
      </c>
      <c r="O142" s="31" t="e">
        <f>'Deuda a emitir'!O315</f>
        <v>#DIV/0!</v>
      </c>
      <c r="P142" s="31" t="e">
        <f>'Deuda a emitir'!P315</f>
        <v>#DIV/0!</v>
      </c>
      <c r="Q142" s="480" t="e">
        <f>'Deuda a emitir'!Q315</f>
        <v>#DIV/0!</v>
      </c>
    </row>
    <row r="143" spans="3:18" s="134" customFormat="1">
      <c r="C143" s="301" t="s">
        <v>158</v>
      </c>
      <c r="D143" s="740"/>
      <c r="E143" s="740"/>
      <c r="F143" s="740">
        <f t="shared" ref="F143:P143" si="52">SUM(F144:F145)</f>
        <v>0</v>
      </c>
      <c r="G143" s="740" t="e">
        <f t="shared" si="52"/>
        <v>#DIV/0!</v>
      </c>
      <c r="H143" s="740" t="e">
        <f t="shared" si="52"/>
        <v>#DIV/0!</v>
      </c>
      <c r="I143" s="740" t="e">
        <f t="shared" si="52"/>
        <v>#DIV/0!</v>
      </c>
      <c r="J143" s="740" t="e">
        <f t="shared" si="52"/>
        <v>#DIV/0!</v>
      </c>
      <c r="K143" s="740" t="e">
        <f t="shared" si="52"/>
        <v>#DIV/0!</v>
      </c>
      <c r="L143" s="740" t="e">
        <f t="shared" si="52"/>
        <v>#DIV/0!</v>
      </c>
      <c r="M143" s="740" t="e">
        <f t="shared" si="52"/>
        <v>#DIV/0!</v>
      </c>
      <c r="N143" s="740" t="e">
        <f t="shared" si="52"/>
        <v>#DIV/0!</v>
      </c>
      <c r="O143" s="740" t="e">
        <f t="shared" si="52"/>
        <v>#DIV/0!</v>
      </c>
      <c r="P143" s="740" t="e">
        <f t="shared" si="52"/>
        <v>#DIV/0!</v>
      </c>
      <c r="Q143" s="551" t="e">
        <f t="shared" ref="Q143" si="53">SUM(Q144:Q145)</f>
        <v>#DIV/0!</v>
      </c>
      <c r="R143" s="31"/>
    </row>
    <row r="144" spans="3:18" s="31" customFormat="1">
      <c r="C144" s="304" t="s">
        <v>159</v>
      </c>
      <c r="D144" s="303"/>
      <c r="E144" s="303"/>
      <c r="F144" s="303">
        <f>F137*'Deuda a emitir'!F20</f>
        <v>0</v>
      </c>
      <c r="G144" s="303" t="e">
        <f>G137*'Deuda a emitir'!G20</f>
        <v>#DIV/0!</v>
      </c>
      <c r="H144" s="303" t="e">
        <f>H137*'Deuda a emitir'!H20</f>
        <v>#DIV/0!</v>
      </c>
      <c r="I144" s="303" t="e">
        <f>I137*'Deuda a emitir'!I20</f>
        <v>#DIV/0!</v>
      </c>
      <c r="J144" s="303" t="e">
        <f>J137*'Deuda a emitir'!J20</f>
        <v>#DIV/0!</v>
      </c>
      <c r="K144" s="303" t="e">
        <f>K137*'Deuda a emitir'!K20</f>
        <v>#DIV/0!</v>
      </c>
      <c r="L144" s="303" t="e">
        <f>L137*'Deuda a emitir'!L20</f>
        <v>#DIV/0!</v>
      </c>
      <c r="M144" s="303" t="e">
        <f>M137*'Deuda a emitir'!M20</f>
        <v>#DIV/0!</v>
      </c>
      <c r="N144" s="303" t="e">
        <f>N137*'Deuda a emitir'!N20</f>
        <v>#DIV/0!</v>
      </c>
      <c r="O144" s="303" t="e">
        <f>O137*'Deuda a emitir'!O20</f>
        <v>#DIV/0!</v>
      </c>
      <c r="P144" s="303" t="e">
        <f>P137*'Deuda a emitir'!P20</f>
        <v>#DIV/0!</v>
      </c>
      <c r="Q144" s="483" t="e">
        <f>Q137*'Deuda a emitir'!Q20</f>
        <v>#DIV/0!</v>
      </c>
    </row>
    <row r="145" spans="3:17" s="31" customFormat="1">
      <c r="C145" s="304" t="s">
        <v>157</v>
      </c>
      <c r="F145" s="31">
        <f t="shared" ref="F145:P145" si="54">+SUM(F146:F147)</f>
        <v>0</v>
      </c>
      <c r="G145" s="31">
        <f t="shared" si="54"/>
        <v>0</v>
      </c>
      <c r="H145" s="31">
        <f t="shared" si="54"/>
        <v>0</v>
      </c>
      <c r="I145" s="31">
        <f t="shared" si="54"/>
        <v>0</v>
      </c>
      <c r="J145" s="31">
        <f t="shared" si="54"/>
        <v>0</v>
      </c>
      <c r="K145" s="31" t="e">
        <f t="shared" si="54"/>
        <v>#DIV/0!</v>
      </c>
      <c r="L145" s="31" t="e">
        <f t="shared" si="54"/>
        <v>#DIV/0!</v>
      </c>
      <c r="M145" s="31" t="e">
        <f t="shared" si="54"/>
        <v>#DIV/0!</v>
      </c>
      <c r="N145" s="31" t="e">
        <f t="shared" si="54"/>
        <v>#DIV/0!</v>
      </c>
      <c r="O145" s="31" t="e">
        <f t="shared" si="54"/>
        <v>#DIV/0!</v>
      </c>
      <c r="P145" s="31" t="e">
        <f t="shared" si="54"/>
        <v>#DIV/0!</v>
      </c>
      <c r="Q145" s="480" t="e">
        <f t="shared" ref="Q145" si="55">+SUM(Q146:Q147)</f>
        <v>#DIV/0!</v>
      </c>
    </row>
    <row r="146" spans="3:17" s="31" customFormat="1">
      <c r="C146" s="310" t="s">
        <v>122</v>
      </c>
      <c r="F146" s="303">
        <f>'Deuda a emitir'!F474</f>
        <v>0</v>
      </c>
      <c r="G146" s="31">
        <f>'Deuda a emitir'!G474</f>
        <v>0</v>
      </c>
      <c r="H146" s="31">
        <f>'Deuda a emitir'!H474</f>
        <v>0</v>
      </c>
      <c r="I146" s="31">
        <f>'Deuda a emitir'!I474</f>
        <v>0</v>
      </c>
      <c r="J146" s="31">
        <f>'Deuda a emitir'!J474</f>
        <v>0</v>
      </c>
      <c r="K146" s="31" t="e">
        <f>'Deuda a emitir'!K474</f>
        <v>#DIV/0!</v>
      </c>
      <c r="L146" s="31" t="e">
        <f>'Deuda a emitir'!L474</f>
        <v>#DIV/0!</v>
      </c>
      <c r="M146" s="31" t="e">
        <f>'Deuda a emitir'!M474</f>
        <v>#DIV/0!</v>
      </c>
      <c r="N146" s="31" t="e">
        <f>'Deuda a emitir'!N474</f>
        <v>#DIV/0!</v>
      </c>
      <c r="O146" s="31" t="e">
        <f>'Deuda a emitir'!O474</f>
        <v>#DIV/0!</v>
      </c>
      <c r="P146" s="31" t="e">
        <f>'Deuda a emitir'!P474</f>
        <v>#DIV/0!</v>
      </c>
      <c r="Q146" s="480" t="e">
        <f>'Deuda a emitir'!Q474</f>
        <v>#DIV/0!</v>
      </c>
    </row>
    <row r="147" spans="3:17" s="31" customFormat="1">
      <c r="C147" s="311" t="s">
        <v>121</v>
      </c>
      <c r="D147" s="312"/>
      <c r="E147" s="312"/>
      <c r="F147" s="312">
        <f>'Deuda a emitir'!F594</f>
        <v>0</v>
      </c>
      <c r="G147" s="312">
        <f>'Deuda a emitir'!G594</f>
        <v>0</v>
      </c>
      <c r="H147" s="312">
        <f>'Deuda a emitir'!H594</f>
        <v>0</v>
      </c>
      <c r="I147" s="312">
        <f>'Deuda a emitir'!I594</f>
        <v>0</v>
      </c>
      <c r="J147" s="312">
        <f>'Deuda a emitir'!J594</f>
        <v>0</v>
      </c>
      <c r="K147" s="312" t="e">
        <f>'Deuda a emitir'!K594</f>
        <v>#DIV/0!</v>
      </c>
      <c r="L147" s="312" t="e">
        <f>'Deuda a emitir'!L594</f>
        <v>#DIV/0!</v>
      </c>
      <c r="M147" s="312" t="e">
        <f>'Deuda a emitir'!M594</f>
        <v>#DIV/0!</v>
      </c>
      <c r="N147" s="312" t="e">
        <f>'Deuda a emitir'!N594</f>
        <v>#DIV/0!</v>
      </c>
      <c r="O147" s="312" t="e">
        <f>'Deuda a emitir'!O594</f>
        <v>#DIV/0!</v>
      </c>
      <c r="P147" s="312" t="e">
        <f>'Deuda a emitir'!P594</f>
        <v>#DIV/0!</v>
      </c>
      <c r="Q147" s="552" t="e">
        <f>'Deuda a emitir'!Q594</f>
        <v>#DIV/0!</v>
      </c>
    </row>
    <row r="148" spans="3:17" s="31" customFormat="1">
      <c r="C148" s="2"/>
    </row>
    <row r="149" spans="3:17" s="31" customFormat="1">
      <c r="C149" s="308" t="s">
        <v>160</v>
      </c>
      <c r="D149" s="309"/>
      <c r="E149" s="309"/>
      <c r="F149" s="309">
        <f>SUM(F150)+F154+F153</f>
        <v>7188.4229892234271</v>
      </c>
      <c r="G149" s="309">
        <f>SUM(G150)+G154+G153</f>
        <v>26874</v>
      </c>
      <c r="H149" s="309">
        <f>SUM(H150)+H154+H153</f>
        <v>30622.012042999999</v>
      </c>
      <c r="I149" s="309">
        <f t="shared" ref="I149:L149" si="56">SUM(I150)+I154+I153</f>
        <v>44365.378420724759</v>
      </c>
      <c r="J149" s="309">
        <f t="shared" si="56"/>
        <v>33744.509313000002</v>
      </c>
      <c r="K149" s="309">
        <f t="shared" si="56"/>
        <v>18574.045028411401</v>
      </c>
      <c r="L149" s="309">
        <f t="shared" si="56"/>
        <v>22337.127814999996</v>
      </c>
      <c r="M149" s="309">
        <f>SUM(M150)+M154+M153</f>
        <v>34945.541055000002</v>
      </c>
      <c r="N149" s="309">
        <f>SUM(N150)+N154+N153</f>
        <v>27953.497500000001</v>
      </c>
      <c r="O149" s="309">
        <f>SUM(O150)+O154+O153</f>
        <v>38269.1798985848</v>
      </c>
      <c r="P149" s="309">
        <f>SUM(P150)+P154+P153</f>
        <v>27735.275300000001</v>
      </c>
      <c r="Q149" s="545">
        <f>SUM(Q150)+Q154+Q153</f>
        <v>34198.8649753344</v>
      </c>
    </row>
    <row r="150" spans="3:17" s="31" customFormat="1">
      <c r="C150" s="304" t="s">
        <v>161</v>
      </c>
      <c r="D150" s="303"/>
      <c r="E150" s="303"/>
      <c r="F150" s="31">
        <f>'Insumos externos'!F43-F153</f>
        <v>7188.4229892234271</v>
      </c>
      <c r="G150" s="31">
        <f>'Insumos externos'!F62-G153</f>
        <v>26874</v>
      </c>
      <c r="H150" s="31">
        <f>+'Insumos externos'!F10/1000-H153</f>
        <v>30622.012042999999</v>
      </c>
      <c r="I150" s="31">
        <f>+'Insumos externos'!G10/1000-I153</f>
        <v>44365.378420724759</v>
      </c>
      <c r="J150" s="31">
        <f>+'Insumos externos'!H10/1000-J153</f>
        <v>33744.509313000002</v>
      </c>
      <c r="K150" s="31">
        <f>+'Insumos externos'!I10/1000-K153</f>
        <v>18574.045028411401</v>
      </c>
      <c r="L150" s="31">
        <f>+'Insumos externos'!J10/1000-L153</f>
        <v>22337.127814999996</v>
      </c>
      <c r="M150" s="31">
        <f>+'Insumos externos'!K10/1000-M153</f>
        <v>34945.541055000002</v>
      </c>
      <c r="N150" s="31">
        <f>+'Insumos externos'!L10/1000-N153</f>
        <v>27953.497500000001</v>
      </c>
      <c r="O150" s="31">
        <f>+'Insumos externos'!M10/1000-O153</f>
        <v>38269.1798985848</v>
      </c>
      <c r="P150" s="31">
        <f>+'Insumos externos'!N10/1000-P153</f>
        <v>27735.275300000001</v>
      </c>
      <c r="Q150" s="480">
        <f>+'Insumos externos'!O10/1000-Q153</f>
        <v>34198.8649753344</v>
      </c>
    </row>
    <row r="151" spans="3:17" s="31" customFormat="1">
      <c r="C151" s="310" t="s">
        <v>162</v>
      </c>
      <c r="D151" s="303"/>
      <c r="E151" s="303"/>
      <c r="F151" s="546"/>
      <c r="G151" s="547"/>
      <c r="H151" s="134">
        <f t="shared" ref="H151:Q151" si="57">H150-H152</f>
        <v>30622.012042999999</v>
      </c>
      <c r="I151" s="134">
        <f t="shared" si="57"/>
        <v>20542.721558309957</v>
      </c>
      <c r="J151" s="134">
        <f t="shared" si="57"/>
        <v>33744.509313000002</v>
      </c>
      <c r="K151" s="134">
        <f>K150-K152</f>
        <v>-196.53153771600046</v>
      </c>
      <c r="L151" s="134">
        <f t="shared" si="57"/>
        <v>22337.127814999996</v>
      </c>
      <c r="M151" s="134">
        <f t="shared" si="57"/>
        <v>34945.541055000002</v>
      </c>
      <c r="N151" s="134">
        <f t="shared" si="57"/>
        <v>27953.497500000001</v>
      </c>
      <c r="O151" s="134">
        <f t="shared" si="57"/>
        <v>22446.003303798403</v>
      </c>
      <c r="P151" s="134">
        <f t="shared" si="57"/>
        <v>27735.275300000001</v>
      </c>
      <c r="Q151" s="548">
        <f t="shared" si="57"/>
        <v>-15.520949964797182</v>
      </c>
    </row>
    <row r="152" spans="3:17" s="31" customFormat="1">
      <c r="C152" s="310" t="s">
        <v>163</v>
      </c>
      <c r="D152" s="303"/>
      <c r="E152" s="303"/>
      <c r="F152" s="546"/>
      <c r="G152" s="544"/>
      <c r="H152" s="744">
        <v>0</v>
      </c>
      <c r="I152" s="744">
        <f>'Insumos externos'!$H$81/1000</f>
        <v>23822.656862414802</v>
      </c>
      <c r="J152" s="744">
        <v>0</v>
      </c>
      <c r="K152" s="744">
        <f>'Insumos externos'!$H$82/1000</f>
        <v>18770.576566127402</v>
      </c>
      <c r="L152" s="744">
        <v>0</v>
      </c>
      <c r="M152" s="744">
        <v>0</v>
      </c>
      <c r="N152" s="744">
        <v>0</v>
      </c>
      <c r="O152" s="744">
        <f>'Insumos externos'!$H$83/1000</f>
        <v>15823.176594786399</v>
      </c>
      <c r="P152" s="744">
        <v>0</v>
      </c>
      <c r="Q152" s="745">
        <f>'Insumos externos'!$H$84/1000</f>
        <v>34214.385925299197</v>
      </c>
    </row>
    <row r="153" spans="3:17" s="31" customFormat="1">
      <c r="C153" s="304" t="s">
        <v>164</v>
      </c>
      <c r="D153" s="313"/>
      <c r="E153" s="313"/>
      <c r="F153" s="221"/>
      <c r="G153" s="221"/>
      <c r="H153" s="221"/>
      <c r="I153" s="221"/>
      <c r="J153" s="221"/>
      <c r="K153" s="221"/>
      <c r="L153" s="221"/>
      <c r="M153" s="221"/>
      <c r="N153" s="221"/>
      <c r="O153" s="221"/>
      <c r="P153" s="221"/>
      <c r="Q153" s="222"/>
    </row>
    <row r="154" spans="3:17" s="31" customFormat="1" ht="32">
      <c r="C154" s="314" t="s">
        <v>165</v>
      </c>
      <c r="D154" s="313"/>
      <c r="E154" s="313"/>
      <c r="F154" s="221"/>
      <c r="G154" s="221"/>
      <c r="H154" s="221"/>
      <c r="I154" s="221"/>
      <c r="J154" s="221"/>
      <c r="K154" s="221"/>
      <c r="L154" s="221"/>
      <c r="M154" s="221"/>
      <c r="N154" s="221"/>
      <c r="O154" s="221"/>
      <c r="P154" s="221"/>
      <c r="Q154" s="222"/>
    </row>
    <row r="155" spans="3:17" s="31" customFormat="1">
      <c r="C155" s="299" t="s">
        <v>166</v>
      </c>
      <c r="D155" s="300"/>
      <c r="E155" s="300"/>
      <c r="F155" s="300">
        <f t="shared" ref="F155:P155" si="58">SUM(F156:F158)</f>
        <v>0</v>
      </c>
      <c r="G155" s="300">
        <f t="shared" si="58"/>
        <v>0</v>
      </c>
      <c r="H155" s="300">
        <f t="shared" si="58"/>
        <v>0</v>
      </c>
      <c r="I155" s="300">
        <f t="shared" si="58"/>
        <v>0</v>
      </c>
      <c r="J155" s="300">
        <f t="shared" si="58"/>
        <v>0</v>
      </c>
      <c r="K155" s="300">
        <f t="shared" si="58"/>
        <v>0</v>
      </c>
      <c r="L155" s="300">
        <f t="shared" si="58"/>
        <v>0</v>
      </c>
      <c r="M155" s="300">
        <f t="shared" si="58"/>
        <v>0</v>
      </c>
      <c r="N155" s="300">
        <f t="shared" si="58"/>
        <v>0</v>
      </c>
      <c r="O155" s="300">
        <f t="shared" si="58"/>
        <v>0</v>
      </c>
      <c r="P155" s="300">
        <f t="shared" si="58"/>
        <v>0</v>
      </c>
      <c r="Q155" s="549">
        <f t="shared" ref="Q155" si="59">SUM(Q156:Q158)</f>
        <v>0</v>
      </c>
    </row>
    <row r="156" spans="3:17" s="31" customFormat="1">
      <c r="C156" s="304" t="s">
        <v>167</v>
      </c>
      <c r="D156" s="303"/>
      <c r="E156" s="303"/>
      <c r="F156" s="31">
        <f>'Insumos externos'!E42*'Deuda a emitir'!F16/1000-F157</f>
        <v>0</v>
      </c>
      <c r="G156" s="31">
        <f>'Insumos externos'!E61*'Deuda a emitir'!G16/1000-G157</f>
        <v>0</v>
      </c>
      <c r="H156" s="31">
        <f>'Insumos externos'!F24*'Deuda a emitir'!H16/1000-H157</f>
        <v>0</v>
      </c>
      <c r="I156" s="31">
        <f>'Insumos externos'!G24*'Deuda a emitir'!I16/1000-I157</f>
        <v>0</v>
      </c>
      <c r="J156" s="31">
        <f>'Insumos externos'!H24*'Deuda a emitir'!J16/1000-J157</f>
        <v>0</v>
      </c>
      <c r="K156" s="31">
        <f>'Insumos externos'!I24*'Deuda a emitir'!K16/1000-K157</f>
        <v>0</v>
      </c>
      <c r="L156" s="31">
        <f>'Insumos externos'!J24*'Deuda a emitir'!L16/1000-L157</f>
        <v>0</v>
      </c>
      <c r="M156" s="31">
        <f>'Insumos externos'!K24*'Deuda a emitir'!M16/1000-M157</f>
        <v>0</v>
      </c>
      <c r="N156" s="31">
        <f>'Insumos externos'!L24*'Deuda a emitir'!N16/1000-N157</f>
        <v>0</v>
      </c>
      <c r="O156" s="31">
        <f>'Insumos externos'!M24*'Deuda a emitir'!O16/1000-O157</f>
        <v>0</v>
      </c>
      <c r="P156" s="31">
        <f>'Insumos externos'!N24*'Deuda a emitir'!P16/1000-P157</f>
        <v>0</v>
      </c>
      <c r="Q156" s="480">
        <f>'Insumos externos'!O24*'Deuda a emitir'!Q16/1000-Q157</f>
        <v>0</v>
      </c>
    </row>
    <row r="157" spans="3:17" s="31" customFormat="1">
      <c r="C157" s="304" t="s">
        <v>164</v>
      </c>
      <c r="D157" s="313"/>
      <c r="E157" s="313"/>
      <c r="F157" s="221"/>
      <c r="G157" s="221"/>
      <c r="H157" s="221"/>
      <c r="I157" s="221"/>
      <c r="J157" s="221"/>
      <c r="K157" s="221"/>
      <c r="L157" s="221"/>
      <c r="M157" s="221"/>
      <c r="N157" s="221"/>
      <c r="O157" s="221"/>
      <c r="P157" s="221"/>
      <c r="Q157" s="222"/>
    </row>
    <row r="158" spans="3:17" s="31" customFormat="1" ht="32">
      <c r="C158" s="316" t="s">
        <v>165</v>
      </c>
      <c r="D158" s="317"/>
      <c r="E158" s="317"/>
      <c r="F158" s="315"/>
      <c r="G158" s="315"/>
      <c r="H158" s="318"/>
      <c r="I158" s="318"/>
      <c r="J158" s="318"/>
      <c r="K158" s="318"/>
      <c r="L158" s="318"/>
      <c r="M158" s="318"/>
      <c r="N158" s="318"/>
      <c r="O158" s="318"/>
      <c r="P158" s="318"/>
      <c r="Q158" s="550"/>
    </row>
    <row r="159" spans="3:17" s="31" customFormat="1">
      <c r="C159" s="319"/>
    </row>
    <row r="160" spans="3:17" s="31" customFormat="1">
      <c r="C160" s="320" t="s">
        <v>168</v>
      </c>
      <c r="D160" s="321"/>
      <c r="E160" s="321"/>
      <c r="F160" s="321">
        <f t="shared" ref="F160:Q160" si="60">SUM(F137,F140,F145,F149,F155)</f>
        <v>57478.422989223429</v>
      </c>
      <c r="G160" s="321" t="e">
        <f t="shared" si="60"/>
        <v>#DIV/0!</v>
      </c>
      <c r="H160" s="321" t="e">
        <f t="shared" si="60"/>
        <v>#DIV/0!</v>
      </c>
      <c r="I160" s="321" t="e">
        <f t="shared" si="60"/>
        <v>#DIV/0!</v>
      </c>
      <c r="J160" s="321" t="e">
        <f t="shared" si="60"/>
        <v>#DIV/0!</v>
      </c>
      <c r="K160" s="321" t="e">
        <f t="shared" si="60"/>
        <v>#DIV/0!</v>
      </c>
      <c r="L160" s="321" t="e">
        <f t="shared" si="60"/>
        <v>#DIV/0!</v>
      </c>
      <c r="M160" s="321" t="e">
        <f t="shared" si="60"/>
        <v>#DIV/0!</v>
      </c>
      <c r="N160" s="321" t="e">
        <f t="shared" si="60"/>
        <v>#DIV/0!</v>
      </c>
      <c r="O160" s="321" t="e">
        <f t="shared" si="60"/>
        <v>#DIV/0!</v>
      </c>
      <c r="P160" s="321" t="e">
        <f t="shared" si="60"/>
        <v>#DIV/0!</v>
      </c>
      <c r="Q160" s="321" t="e">
        <f t="shared" si="60"/>
        <v>#DIV/0!</v>
      </c>
    </row>
    <row r="161" spans="3:18">
      <c r="Q161" s="31"/>
      <c r="R161" s="31"/>
    </row>
    <row r="162" spans="3:18">
      <c r="F162" s="31"/>
      <c r="G162" s="31"/>
      <c r="H162" s="31"/>
      <c r="I162" s="31"/>
    </row>
    <row r="163" spans="3:18" ht="16">
      <c r="C163" s="635" t="s">
        <v>169</v>
      </c>
      <c r="D163" s="636">
        <v>2022</v>
      </c>
      <c r="E163" s="636">
        <v>2023</v>
      </c>
      <c r="F163" s="636">
        <v>2024</v>
      </c>
      <c r="G163" s="636">
        <v>2025</v>
      </c>
      <c r="H163" s="636">
        <v>2026</v>
      </c>
      <c r="I163" s="636">
        <v>2027</v>
      </c>
      <c r="J163" s="636">
        <v>2028</v>
      </c>
      <c r="K163" s="636">
        <v>2029</v>
      </c>
      <c r="L163" s="636">
        <v>2030</v>
      </c>
      <c r="M163" s="636">
        <v>2031</v>
      </c>
      <c r="N163" s="636">
        <v>2032</v>
      </c>
      <c r="O163" s="636">
        <v>2033</v>
      </c>
      <c r="P163" s="636">
        <v>2034</v>
      </c>
      <c r="Q163" s="637">
        <v>2035</v>
      </c>
    </row>
    <row r="164" spans="3:18" s="182" customFormat="1" ht="32">
      <c r="C164" s="638" t="s">
        <v>170</v>
      </c>
      <c r="D164" s="283"/>
      <c r="E164" s="283"/>
      <c r="F164" s="283">
        <f>'Deuda a emitir'!F$138*'Deuda a emitir'!F22</f>
        <v>0</v>
      </c>
      <c r="G164" s="283" t="e">
        <f>'Deuda a emitir'!G$138*'Deuda a emitir'!G22</f>
        <v>#DIV/0!</v>
      </c>
      <c r="H164" s="283" t="e">
        <f>'Deuda a emitir'!H$138*'Deuda a emitir'!H22</f>
        <v>#DIV/0!</v>
      </c>
      <c r="I164" s="283" t="e">
        <f>'Deuda a emitir'!I$138*'Deuda a emitir'!I22</f>
        <v>#DIV/0!</v>
      </c>
      <c r="J164" s="283" t="e">
        <f>'Deuda a emitir'!J$138*'Deuda a emitir'!J22</f>
        <v>#DIV/0!</v>
      </c>
      <c r="K164" s="283" t="e">
        <f>'Deuda a emitir'!K$138*'Deuda a emitir'!K22</f>
        <v>#DIV/0!</v>
      </c>
      <c r="L164" s="283" t="e">
        <f>'Deuda a emitir'!L$138*'Deuda a emitir'!L22</f>
        <v>#DIV/0!</v>
      </c>
      <c r="M164" s="283" t="e">
        <f>'Deuda a emitir'!M$138*'Deuda a emitir'!M22</f>
        <v>#DIV/0!</v>
      </c>
      <c r="N164" s="283" t="e">
        <f>'Deuda a emitir'!N$138*'Deuda a emitir'!N22</f>
        <v>#DIV/0!</v>
      </c>
      <c r="O164" s="283" t="e">
        <f>'Deuda a emitir'!O$138*'Deuda a emitir'!O22</f>
        <v>#DIV/0!</v>
      </c>
      <c r="P164" s="283" t="e">
        <f>'Deuda a emitir'!P$138*'Deuda a emitir'!P22</f>
        <v>#DIV/0!</v>
      </c>
      <c r="Q164" s="639" t="e">
        <f>'Deuda a emitir'!Q$138*'Deuda a emitir'!Q22</f>
        <v>#DIV/0!</v>
      </c>
    </row>
    <row r="165" spans="3:18" s="182" customFormat="1" ht="32">
      <c r="C165" s="638" t="s">
        <v>171</v>
      </c>
      <c r="D165" s="283"/>
      <c r="E165" s="283"/>
      <c r="F165" s="283">
        <f>'Deuda a emitir'!F$149*'Deuda a emitir'!F22</f>
        <v>0</v>
      </c>
      <c r="G165" s="283">
        <f>'Deuda a emitir'!G$149*'Deuda a emitir'!G22</f>
        <v>0</v>
      </c>
      <c r="H165" s="283">
        <f>'Deuda a emitir'!H$149*'Deuda a emitir'!H22</f>
        <v>0</v>
      </c>
      <c r="I165" s="283">
        <f>'Deuda a emitir'!I$149*'Deuda a emitir'!I22</f>
        <v>0</v>
      </c>
      <c r="J165" s="283">
        <f>'Deuda a emitir'!J$149*'Deuda a emitir'!J22</f>
        <v>0</v>
      </c>
      <c r="K165" s="283">
        <f>'Deuda a emitir'!K$149*'Deuda a emitir'!K22</f>
        <v>0</v>
      </c>
      <c r="L165" s="283">
        <f>'Deuda a emitir'!L$149*'Deuda a emitir'!L22</f>
        <v>0</v>
      </c>
      <c r="M165" s="283">
        <f>'Deuda a emitir'!M$149*'Deuda a emitir'!M22</f>
        <v>0</v>
      </c>
      <c r="N165" s="283">
        <f>'Deuda a emitir'!N$149*'Deuda a emitir'!N22</f>
        <v>0</v>
      </c>
      <c r="O165" s="283">
        <f>'Deuda a emitir'!O$149*'Deuda a emitir'!O22</f>
        <v>0</v>
      </c>
      <c r="P165" s="283">
        <f>'Deuda a emitir'!P$149*'Deuda a emitir'!P22</f>
        <v>0</v>
      </c>
      <c r="Q165" s="639">
        <f>'Deuda a emitir'!Q$149*'Deuda a emitir'!Q22</f>
        <v>0</v>
      </c>
    </row>
    <row r="166" spans="3:18" s="182" customFormat="1" ht="16">
      <c r="C166" s="640" t="s">
        <v>172</v>
      </c>
      <c r="D166" s="283"/>
      <c r="E166" s="37"/>
      <c r="F166" s="37">
        <f t="shared" ref="F166:Q166" si="61">F164+F165</f>
        <v>0</v>
      </c>
      <c r="G166" s="37" t="e">
        <f t="shared" si="61"/>
        <v>#DIV/0!</v>
      </c>
      <c r="H166" s="37" t="e">
        <f t="shared" si="61"/>
        <v>#DIV/0!</v>
      </c>
      <c r="I166" s="37" t="e">
        <f t="shared" si="61"/>
        <v>#DIV/0!</v>
      </c>
      <c r="J166" s="37" t="e">
        <f t="shared" si="61"/>
        <v>#DIV/0!</v>
      </c>
      <c r="K166" s="37" t="e">
        <f t="shared" si="61"/>
        <v>#DIV/0!</v>
      </c>
      <c r="L166" s="37" t="e">
        <f t="shared" si="61"/>
        <v>#DIV/0!</v>
      </c>
      <c r="M166" s="37" t="e">
        <f t="shared" si="61"/>
        <v>#DIV/0!</v>
      </c>
      <c r="N166" s="37" t="e">
        <f t="shared" si="61"/>
        <v>#DIV/0!</v>
      </c>
      <c r="O166" s="37" t="e">
        <f t="shared" si="61"/>
        <v>#DIV/0!</v>
      </c>
      <c r="P166" s="37" t="e">
        <f t="shared" si="61"/>
        <v>#DIV/0!</v>
      </c>
      <c r="Q166" s="641" t="e">
        <f t="shared" si="61"/>
        <v>#DIV/0!</v>
      </c>
    </row>
    <row r="167" spans="3:18" s="182" customFormat="1" ht="16">
      <c r="C167" s="638" t="s">
        <v>173</v>
      </c>
      <c r="D167" s="283"/>
      <c r="E167" s="283"/>
      <c r="F167" s="283">
        <f t="shared" ref="F167:Q167" si="62">SUM(F191,F218,F250,F298)</f>
        <v>0</v>
      </c>
      <c r="G167" s="283">
        <f>SUM(G191,G218,G250,G298)</f>
        <v>0</v>
      </c>
      <c r="H167" s="283" t="e">
        <f t="shared" si="62"/>
        <v>#DIV/0!</v>
      </c>
      <c r="I167" s="283" t="e">
        <f t="shared" si="62"/>
        <v>#DIV/0!</v>
      </c>
      <c r="J167" s="283" t="e">
        <f t="shared" si="62"/>
        <v>#DIV/0!</v>
      </c>
      <c r="K167" s="283" t="e">
        <f t="shared" si="62"/>
        <v>#DIV/0!</v>
      </c>
      <c r="L167" s="283" t="e">
        <f t="shared" si="62"/>
        <v>#DIV/0!</v>
      </c>
      <c r="M167" s="283" t="e">
        <f t="shared" si="62"/>
        <v>#DIV/0!</v>
      </c>
      <c r="N167" s="283" t="e">
        <f t="shared" si="62"/>
        <v>#DIV/0!</v>
      </c>
      <c r="O167" s="283" t="e">
        <f t="shared" si="62"/>
        <v>#DIV/0!</v>
      </c>
      <c r="P167" s="283" t="e">
        <f t="shared" si="62"/>
        <v>#DIV/0!</v>
      </c>
      <c r="Q167" s="639" t="e">
        <f t="shared" si="62"/>
        <v>#DIV/0!</v>
      </c>
    </row>
    <row r="168" spans="3:18" s="182" customFormat="1">
      <c r="C168" s="638"/>
      <c r="D168" s="283"/>
      <c r="E168" s="283"/>
      <c r="F168" s="283"/>
      <c r="G168" s="283"/>
      <c r="H168" s="283"/>
      <c r="I168" s="283"/>
      <c r="J168" s="283"/>
      <c r="K168" s="283"/>
      <c r="L168" s="283"/>
      <c r="M168" s="283"/>
      <c r="N168" s="283"/>
      <c r="O168" s="283"/>
      <c r="P168" s="283"/>
      <c r="Q168" s="639"/>
    </row>
    <row r="169" spans="3:18" s="182" customFormat="1" ht="16">
      <c r="C169" s="638" t="s">
        <v>175</v>
      </c>
      <c r="D169" s="324"/>
      <c r="E169" s="324"/>
      <c r="F169" s="324">
        <f>SUMIF($C$176:E$176,"="&amp;F163,$C$180:E$180)+SUMIF($C$198:E$198,"="&amp;F163,$C$202:E$202)+SUMIF($C$225:E$225,"="&amp;F163,$C$229:E$229)+SUMIF($C$258:E$258,"="&amp;F163,$C$262:E$262)</f>
        <v>0</v>
      </c>
      <c r="G169" s="324">
        <f>SUMIF($C$176:F$176,"="&amp;G163,$C$180:F$180)+SUMIF($C$198:F$198,"="&amp;G163,$C$202:F$202)+SUMIF($C$225:F$225,"="&amp;G163,$C$229:F$229)+SUMIF($C$258:F$258,"="&amp;G163,$C$262:F$262)</f>
        <v>0</v>
      </c>
      <c r="H169" s="324">
        <f>SUMIF($C$176:G$176,"="&amp;H163,$C$180:G$180)+SUMIF($C$198:G$198,"="&amp;H163,$C$202:G$202)+SUMIF($C$225:G$225,"="&amp;H163,$C$229:G$229)+SUMIF($C$258:G$258,"="&amp;H163,$C$262:G$262)</f>
        <v>0</v>
      </c>
      <c r="I169" s="324">
        <f>SUMIF($C$176:H$176,"="&amp;I163,$C$180:H$180)+SUMIF($C$198:H$198,"="&amp;I163,$C$202:H$202)+SUMIF($C$225:H$225,"="&amp;I163,$C$229:H$229)+SUMIF($C$258:H$258,"="&amp;I163,$C$262:H$262)</f>
        <v>0</v>
      </c>
      <c r="J169" s="324">
        <f>SUMIF($C$176:I$176,"="&amp;J163,$C$180:I$180)+SUMIF($C$198:I$198,"="&amp;J163,$C$202:I$202)+SUMIF($C$225:I$225,"="&amp;J163,$C$229:I$229)+SUMIF($C$258:I$258,"="&amp;J163,$C$262:I$262)</f>
        <v>0</v>
      </c>
      <c r="K169" s="324">
        <f>SUMIF($C$176:J$176,"="&amp;K163,$C$180:J$180)+SUMIF($C$198:J$198,"="&amp;K163,$C$202:J$202)+SUMIF($C$225:J$225,"="&amp;K163,$C$229:J$229)+SUMIF($C$258:J$258,"="&amp;K163,$C$262:J$262)</f>
        <v>0</v>
      </c>
      <c r="L169" s="324">
        <f>SUMIF($C$176:K$176,"="&amp;L163,$C$180:K$180)+SUMIF($C$198:K$198,"="&amp;L163,$C$202:K$202)+SUMIF($C$225:K$225,"="&amp;L163,$C$229:K$229)+SUMIF($C$258:K$258,"="&amp;L163,$C$262:K$262)</f>
        <v>0</v>
      </c>
      <c r="M169" s="324">
        <f>SUMIF($C$176:L$176,"="&amp;M163,$C$180:L$180)+SUMIF($C$198:L$198,"="&amp;M163,$C$202:L$202)+SUMIF($C$225:L$225,"="&amp;M163,$C$229:L$229)+SUMIF($C$258:L$258,"="&amp;M163,$C$262:L$262)</f>
        <v>0</v>
      </c>
      <c r="N169" s="324">
        <f>SUMIF($C$176:M$176,"="&amp;N163,$C$180:M$180)+SUMIF($C$198:M$198,"="&amp;N163,$C$202:M$202)+SUMIF($C$225:M$225,"="&amp;N163,$C$229:M$229)+SUMIF($C$258:M$258,"="&amp;N163,$C$262:M$262)</f>
        <v>0</v>
      </c>
      <c r="O169" s="324">
        <f>SUMIF($C$176:N$176,"="&amp;O163,$C$180:N$180)+SUMIF($C$198:N$198,"="&amp;O163,$C$202:N$202)+SUMIF($C$225:N$225,"="&amp;O163,$C$229:N$229)+SUMIF($C$258:N$258,"="&amp;O163,$C$262:N$262)</f>
        <v>0</v>
      </c>
      <c r="P169" s="324">
        <f>SUMIF($C$176:O$176,"="&amp;P163,$C$180:O$180)+SUMIF($C$198:O$198,"="&amp;P163,$C$202:O$202)+SUMIF($C$225:O$225,"="&amp;P163,$C$229:O$229)+SUMIF($C$258:O$258,"="&amp;P163,$C$262:O$262)</f>
        <v>0</v>
      </c>
      <c r="Q169" s="642" t="e">
        <f>SUMIF($C$176:P$176,"="&amp;Q163,$C$180:P$180)+SUMIF($C$198:P$198,"="&amp;Q163,$C$202:P$202)+SUMIF($C$225:P$225,"="&amp;Q163,$C$229:P$229)+SUMIF($C$258:P$258,"="&amp;Q163,$C$262:P$262)</f>
        <v>#DIV/0!</v>
      </c>
    </row>
    <row r="170" spans="3:18" s="182" customFormat="1" ht="16">
      <c r="C170" s="638" t="s">
        <v>176</v>
      </c>
      <c r="D170" s="283"/>
      <c r="E170" s="283"/>
      <c r="F170" s="283">
        <f t="shared" ref="F170:Q170" si="63">SUM(F182,F204,F231,F264)</f>
        <v>0</v>
      </c>
      <c r="G170" s="283" t="e">
        <f t="shared" si="63"/>
        <v>#DIV/0!</v>
      </c>
      <c r="H170" s="283" t="e">
        <f t="shared" si="63"/>
        <v>#DIV/0!</v>
      </c>
      <c r="I170" s="283" t="e">
        <f t="shared" si="63"/>
        <v>#DIV/0!</v>
      </c>
      <c r="J170" s="283" t="e">
        <f t="shared" si="63"/>
        <v>#DIV/0!</v>
      </c>
      <c r="K170" s="283" t="e">
        <f t="shared" si="63"/>
        <v>#DIV/0!</v>
      </c>
      <c r="L170" s="283" t="e">
        <f t="shared" si="63"/>
        <v>#DIV/0!</v>
      </c>
      <c r="M170" s="283" t="e">
        <f t="shared" si="63"/>
        <v>#DIV/0!</v>
      </c>
      <c r="N170" s="283" t="e">
        <f t="shared" si="63"/>
        <v>#DIV/0!</v>
      </c>
      <c r="O170" s="283" t="e">
        <f t="shared" si="63"/>
        <v>#DIV/0!</v>
      </c>
      <c r="P170" s="283" t="e">
        <f t="shared" si="63"/>
        <v>#DIV/0!</v>
      </c>
      <c r="Q170" s="639" t="e">
        <f t="shared" si="63"/>
        <v>#DIV/0!</v>
      </c>
    </row>
    <row r="171" spans="3:18" s="182" customFormat="1">
      <c r="C171" s="638"/>
      <c r="E171" s="324"/>
      <c r="Q171" s="643"/>
    </row>
    <row r="172" spans="3:18" s="182" customFormat="1">
      <c r="C172" s="644">
        <v>5</v>
      </c>
      <c r="D172" s="322">
        <v>2022</v>
      </c>
      <c r="E172" s="322">
        <v>2023</v>
      </c>
      <c r="F172" s="322">
        <v>2024</v>
      </c>
      <c r="G172" s="322">
        <v>2025</v>
      </c>
      <c r="H172" s="322">
        <v>2026</v>
      </c>
      <c r="I172" s="322">
        <v>2027</v>
      </c>
      <c r="J172" s="322">
        <v>2028</v>
      </c>
      <c r="K172" s="322">
        <v>2029</v>
      </c>
      <c r="L172" s="322">
        <v>2030</v>
      </c>
      <c r="M172" s="322">
        <v>2031</v>
      </c>
      <c r="N172" s="322">
        <v>2032</v>
      </c>
      <c r="O172" s="322">
        <v>2033</v>
      </c>
      <c r="P172" s="322">
        <v>2034</v>
      </c>
      <c r="Q172" s="645">
        <v>2035</v>
      </c>
    </row>
    <row r="173" spans="3:18" s="182" customFormat="1" ht="16">
      <c r="C173" s="638" t="s">
        <v>177</v>
      </c>
      <c r="D173" s="291"/>
      <c r="E173" s="291"/>
      <c r="F173" s="325">
        <f>'Deuda a emitir'!F30</f>
        <v>0</v>
      </c>
      <c r="G173" s="325">
        <f>'Deuda a emitir'!G30</f>
        <v>0</v>
      </c>
      <c r="H173" s="325">
        <f>'Deuda a emitir'!H30</f>
        <v>0</v>
      </c>
      <c r="I173" s="325">
        <f>'Deuda a emitir'!I30</f>
        <v>0</v>
      </c>
      <c r="J173" s="325">
        <f>'Deuda a emitir'!J30</f>
        <v>0</v>
      </c>
      <c r="K173" s="325">
        <f>'Deuda a emitir'!K30</f>
        <v>0</v>
      </c>
      <c r="L173" s="325">
        <f>'Deuda a emitir'!L30</f>
        <v>0</v>
      </c>
      <c r="M173" s="325">
        <f>'Deuda a emitir'!M30</f>
        <v>0</v>
      </c>
      <c r="N173" s="325">
        <f>'Deuda a emitir'!N30</f>
        <v>0</v>
      </c>
      <c r="O173" s="325">
        <f>'Deuda a emitir'!O30</f>
        <v>0</v>
      </c>
      <c r="P173" s="325">
        <f>'Deuda a emitir'!P30</f>
        <v>0</v>
      </c>
      <c r="Q173" s="646">
        <f>'Deuda a emitir'!Q30</f>
        <v>0</v>
      </c>
    </row>
    <row r="174" spans="3:18" s="182" customFormat="1" ht="16">
      <c r="C174" s="638" t="s">
        <v>178</v>
      </c>
      <c r="D174" s="291"/>
      <c r="E174" s="291"/>
      <c r="F174" s="325">
        <f>'Deuda a emitir'!F31</f>
        <v>0</v>
      </c>
      <c r="G174" s="325">
        <f>'Deuda a emitir'!G31</f>
        <v>0</v>
      </c>
      <c r="H174" s="325">
        <f>'Deuda a emitir'!H31</f>
        <v>0</v>
      </c>
      <c r="I174" s="325">
        <f>'Deuda a emitir'!I31</f>
        <v>0</v>
      </c>
      <c r="J174" s="325">
        <f>'Deuda a emitir'!J31</f>
        <v>0</v>
      </c>
      <c r="K174" s="325">
        <f>'Deuda a emitir'!K31</f>
        <v>0</v>
      </c>
      <c r="L174" s="325">
        <f>'Deuda a emitir'!L31</f>
        <v>0</v>
      </c>
      <c r="M174" s="325">
        <f>'Deuda a emitir'!M31</f>
        <v>0</v>
      </c>
      <c r="N174" s="325">
        <f>'Deuda a emitir'!N31</f>
        <v>0</v>
      </c>
      <c r="O174" s="325">
        <f>'Deuda a emitir'!O31</f>
        <v>0</v>
      </c>
      <c r="P174" s="325">
        <f>'Deuda a emitir'!P31</f>
        <v>0</v>
      </c>
      <c r="Q174" s="646">
        <f>'Deuda a emitir'!Q31</f>
        <v>0</v>
      </c>
    </row>
    <row r="175" spans="3:18" s="182" customFormat="1" ht="16">
      <c r="C175" s="638" t="s">
        <v>179</v>
      </c>
      <c r="D175" s="326"/>
      <c r="E175" s="326"/>
      <c r="F175" s="326">
        <f>'Deuda a emitir'!F32</f>
        <v>0</v>
      </c>
      <c r="G175" s="326">
        <f>'Deuda a emitir'!G32</f>
        <v>0</v>
      </c>
      <c r="H175" s="326">
        <f>'Deuda a emitir'!H32</f>
        <v>0</v>
      </c>
      <c r="I175" s="326">
        <f>'Deuda a emitir'!I32</f>
        <v>0</v>
      </c>
      <c r="J175" s="326">
        <f>'Deuda a emitir'!J32</f>
        <v>0</v>
      </c>
      <c r="K175" s="326">
        <f>'Deuda a emitir'!K32</f>
        <v>0</v>
      </c>
      <c r="L175" s="326">
        <f>'Deuda a emitir'!L32</f>
        <v>0</v>
      </c>
      <c r="M175" s="326">
        <f>'Deuda a emitir'!M32</f>
        <v>0</v>
      </c>
      <c r="N175" s="326">
        <f>'Deuda a emitir'!N32</f>
        <v>0</v>
      </c>
      <c r="O175" s="326">
        <f>'Deuda a emitir'!O32</f>
        <v>0</v>
      </c>
      <c r="P175" s="326">
        <f>'Deuda a emitir'!P32</f>
        <v>0</v>
      </c>
      <c r="Q175" s="647">
        <f>'Deuda a emitir'!Q32</f>
        <v>0</v>
      </c>
    </row>
    <row r="176" spans="3:18" s="182" customFormat="1" ht="16">
      <c r="C176" s="638" t="s">
        <v>72</v>
      </c>
      <c r="D176" s="328"/>
      <c r="E176" s="328"/>
      <c r="F176" s="328">
        <f t="shared" ref="F176:Q176" si="64">F172+F175</f>
        <v>2024</v>
      </c>
      <c r="G176" s="328">
        <f t="shared" si="64"/>
        <v>2025</v>
      </c>
      <c r="H176" s="328">
        <f t="shared" si="64"/>
        <v>2026</v>
      </c>
      <c r="I176" s="328">
        <f t="shared" si="64"/>
        <v>2027</v>
      </c>
      <c r="J176" s="328">
        <f t="shared" si="64"/>
        <v>2028</v>
      </c>
      <c r="K176" s="328">
        <f t="shared" si="64"/>
        <v>2029</v>
      </c>
      <c r="L176" s="328">
        <f t="shared" si="64"/>
        <v>2030</v>
      </c>
      <c r="M176" s="328">
        <f t="shared" si="64"/>
        <v>2031</v>
      </c>
      <c r="N176" s="328">
        <f t="shared" si="64"/>
        <v>2032</v>
      </c>
      <c r="O176" s="328">
        <f t="shared" si="64"/>
        <v>2033</v>
      </c>
      <c r="P176" s="328">
        <f t="shared" si="64"/>
        <v>2034</v>
      </c>
      <c r="Q176" s="648">
        <f t="shared" si="64"/>
        <v>2035</v>
      </c>
    </row>
    <row r="177" spans="3:17" s="182" customFormat="1" ht="16">
      <c r="C177" s="638" t="s">
        <v>180</v>
      </c>
      <c r="D177" s="291"/>
      <c r="E177" s="291"/>
      <c r="F177" s="291">
        <f>'Deuda a emitir'!F25</f>
        <v>0</v>
      </c>
      <c r="G177" s="291">
        <f>'Deuda a emitir'!G25</f>
        <v>0</v>
      </c>
      <c r="H177" s="291">
        <f>'Deuda a emitir'!H25</f>
        <v>0</v>
      </c>
      <c r="I177" s="291">
        <f>'Deuda a emitir'!I25</f>
        <v>0</v>
      </c>
      <c r="J177" s="291">
        <f>'Deuda a emitir'!J25</f>
        <v>0</v>
      </c>
      <c r="K177" s="291">
        <f>'Deuda a emitir'!K25</f>
        <v>0</v>
      </c>
      <c r="L177" s="291">
        <f>'Deuda a emitir'!L25</f>
        <v>0</v>
      </c>
      <c r="M177" s="291">
        <f>'Deuda a emitir'!M25</f>
        <v>0</v>
      </c>
      <c r="N177" s="291">
        <f>'Deuda a emitir'!N25</f>
        <v>0</v>
      </c>
      <c r="O177" s="291">
        <f>'Deuda a emitir'!O25</f>
        <v>0</v>
      </c>
      <c r="P177" s="291">
        <f>'Deuda a emitir'!P25</f>
        <v>0</v>
      </c>
      <c r="Q177" s="649">
        <f>'Deuda a emitir'!Q25</f>
        <v>0</v>
      </c>
    </row>
    <row r="178" spans="3:17" s="182" customFormat="1" ht="16">
      <c r="C178" s="638" t="s">
        <v>181</v>
      </c>
      <c r="D178" s="283"/>
      <c r="E178" s="283"/>
      <c r="F178" s="283">
        <f t="shared" ref="F178:Q178" si="65">F$164*F177</f>
        <v>0</v>
      </c>
      <c r="G178" s="283" t="e">
        <f t="shared" si="65"/>
        <v>#DIV/0!</v>
      </c>
      <c r="H178" s="283" t="e">
        <f t="shared" si="65"/>
        <v>#DIV/0!</v>
      </c>
      <c r="I178" s="283" t="e">
        <f t="shared" si="65"/>
        <v>#DIV/0!</v>
      </c>
      <c r="J178" s="283" t="e">
        <f t="shared" si="65"/>
        <v>#DIV/0!</v>
      </c>
      <c r="K178" s="283" t="e">
        <f t="shared" si="65"/>
        <v>#DIV/0!</v>
      </c>
      <c r="L178" s="283" t="e">
        <f t="shared" si="65"/>
        <v>#DIV/0!</v>
      </c>
      <c r="M178" s="283" t="e">
        <f t="shared" si="65"/>
        <v>#DIV/0!</v>
      </c>
      <c r="N178" s="283" t="e">
        <f t="shared" si="65"/>
        <v>#DIV/0!</v>
      </c>
      <c r="O178" s="283" t="e">
        <f t="shared" si="65"/>
        <v>#DIV/0!</v>
      </c>
      <c r="P178" s="283" t="e">
        <f t="shared" si="65"/>
        <v>#DIV/0!</v>
      </c>
      <c r="Q178" s="639" t="e">
        <f t="shared" si="65"/>
        <v>#DIV/0!</v>
      </c>
    </row>
    <row r="179" spans="3:17" s="182" customFormat="1" ht="16">
      <c r="C179" s="638" t="s">
        <v>182</v>
      </c>
      <c r="D179" s="313"/>
      <c r="E179" s="283"/>
      <c r="F179" s="283">
        <f t="shared" ref="F179:Q179" si="66">F$165*F177</f>
        <v>0</v>
      </c>
      <c r="G179" s="283">
        <f t="shared" si="66"/>
        <v>0</v>
      </c>
      <c r="H179" s="283">
        <f t="shared" si="66"/>
        <v>0</v>
      </c>
      <c r="I179" s="283">
        <f t="shared" si="66"/>
        <v>0</v>
      </c>
      <c r="J179" s="283">
        <f t="shared" si="66"/>
        <v>0</v>
      </c>
      <c r="K179" s="283">
        <f t="shared" si="66"/>
        <v>0</v>
      </c>
      <c r="L179" s="283">
        <f t="shared" si="66"/>
        <v>0</v>
      </c>
      <c r="M179" s="283">
        <f t="shared" si="66"/>
        <v>0</v>
      </c>
      <c r="N179" s="283">
        <f t="shared" si="66"/>
        <v>0</v>
      </c>
      <c r="O179" s="283">
        <f t="shared" si="66"/>
        <v>0</v>
      </c>
      <c r="P179" s="283">
        <f t="shared" si="66"/>
        <v>0</v>
      </c>
      <c r="Q179" s="639">
        <f t="shared" si="66"/>
        <v>0</v>
      </c>
    </row>
    <row r="180" spans="3:17" s="182" customFormat="1" ht="16">
      <c r="C180" s="640" t="s">
        <v>183</v>
      </c>
      <c r="D180" s="288"/>
      <c r="E180" s="37"/>
      <c r="F180" s="37">
        <f>SUM(F178:F179)</f>
        <v>0</v>
      </c>
      <c r="G180" s="37" t="e">
        <f t="shared" ref="G180:Q180" si="67">SUM(G178:G179)</f>
        <v>#DIV/0!</v>
      </c>
      <c r="H180" s="37" t="e">
        <f t="shared" si="67"/>
        <v>#DIV/0!</v>
      </c>
      <c r="I180" s="37" t="e">
        <f t="shared" si="67"/>
        <v>#DIV/0!</v>
      </c>
      <c r="J180" s="37" t="e">
        <f t="shared" si="67"/>
        <v>#DIV/0!</v>
      </c>
      <c r="K180" s="37" t="e">
        <f t="shared" si="67"/>
        <v>#DIV/0!</v>
      </c>
      <c r="L180" s="37" t="e">
        <f t="shared" si="67"/>
        <v>#DIV/0!</v>
      </c>
      <c r="M180" s="37" t="e">
        <f t="shared" si="67"/>
        <v>#DIV/0!</v>
      </c>
      <c r="N180" s="37" t="e">
        <f t="shared" si="67"/>
        <v>#DIV/0!</v>
      </c>
      <c r="O180" s="37" t="e">
        <f t="shared" si="67"/>
        <v>#DIV/0!</v>
      </c>
      <c r="P180" s="37" t="e">
        <f t="shared" si="67"/>
        <v>#DIV/0!</v>
      </c>
      <c r="Q180" s="641" t="e">
        <f t="shared" si="67"/>
        <v>#DIV/0!</v>
      </c>
    </row>
    <row r="181" spans="3:17" s="182" customFormat="1">
      <c r="C181" s="638"/>
      <c r="D181" s="283"/>
      <c r="E181" s="283"/>
      <c r="F181" s="283"/>
      <c r="G181" s="283"/>
      <c r="H181" s="283"/>
      <c r="I181" s="283"/>
      <c r="J181" s="283"/>
      <c r="K181" s="283"/>
      <c r="L181" s="283"/>
      <c r="M181" s="283"/>
      <c r="N181" s="283"/>
      <c r="O181" s="283"/>
      <c r="P181" s="283"/>
      <c r="Q181" s="639"/>
    </row>
    <row r="182" spans="3:17" s="182" customFormat="1" ht="16">
      <c r="C182" s="638" t="s">
        <v>184</v>
      </c>
      <c r="D182" s="283"/>
      <c r="E182" s="283"/>
      <c r="F182" s="283">
        <f>NPV(F174,F185:F188,(F189+F180))-F180</f>
        <v>0</v>
      </c>
      <c r="G182" s="283" t="e">
        <f t="shared" ref="G182:Q182" si="68">NPV(G174,G185:G188,(G189+G180))-G180</f>
        <v>#DIV/0!</v>
      </c>
      <c r="H182" s="283" t="e">
        <f t="shared" si="68"/>
        <v>#DIV/0!</v>
      </c>
      <c r="I182" s="283" t="e">
        <f t="shared" si="68"/>
        <v>#DIV/0!</v>
      </c>
      <c r="J182" s="283" t="e">
        <f t="shared" si="68"/>
        <v>#DIV/0!</v>
      </c>
      <c r="K182" s="283" t="e">
        <f t="shared" si="68"/>
        <v>#DIV/0!</v>
      </c>
      <c r="L182" s="283" t="e">
        <f t="shared" si="68"/>
        <v>#DIV/0!</v>
      </c>
      <c r="M182" s="283" t="e">
        <f t="shared" si="68"/>
        <v>#DIV/0!</v>
      </c>
      <c r="N182" s="283" t="e">
        <f t="shared" si="68"/>
        <v>#DIV/0!</v>
      </c>
      <c r="O182" s="283" t="e">
        <f t="shared" si="68"/>
        <v>#DIV/0!</v>
      </c>
      <c r="P182" s="283" t="e">
        <f t="shared" si="68"/>
        <v>#DIV/0!</v>
      </c>
      <c r="Q182" s="639" t="e">
        <f t="shared" si="68"/>
        <v>#DIV/0!</v>
      </c>
    </row>
    <row r="183" spans="3:17" s="182" customFormat="1">
      <c r="C183" s="638"/>
      <c r="Q183" s="643"/>
    </row>
    <row r="184" spans="3:17" s="182" customFormat="1">
      <c r="C184" s="638">
        <v>0</v>
      </c>
      <c r="D184" s="283"/>
      <c r="E184" s="283"/>
      <c r="F184" s="283"/>
      <c r="G184" s="283"/>
      <c r="H184" s="283"/>
      <c r="I184" s="283"/>
      <c r="J184" s="283"/>
      <c r="K184" s="283"/>
      <c r="L184" s="283"/>
      <c r="M184" s="283"/>
      <c r="N184" s="283"/>
      <c r="O184" s="283"/>
      <c r="P184" s="283"/>
      <c r="Q184" s="639"/>
    </row>
    <row r="185" spans="3:17" s="182" customFormat="1">
      <c r="C185" s="638">
        <v>1</v>
      </c>
      <c r="D185" s="283"/>
      <c r="E185" s="650"/>
      <c r="F185" s="283">
        <f>F$180*F$173</f>
        <v>0</v>
      </c>
      <c r="G185" s="283" t="e">
        <f t="shared" ref="G185:Q189" si="69">G$180*G$173</f>
        <v>#DIV/0!</v>
      </c>
      <c r="H185" s="283" t="e">
        <f t="shared" si="69"/>
        <v>#DIV/0!</v>
      </c>
      <c r="I185" s="283" t="e">
        <f t="shared" si="69"/>
        <v>#DIV/0!</v>
      </c>
      <c r="J185" s="283" t="e">
        <f t="shared" si="69"/>
        <v>#DIV/0!</v>
      </c>
      <c r="K185" s="283" t="e">
        <f t="shared" si="69"/>
        <v>#DIV/0!</v>
      </c>
      <c r="L185" s="283" t="e">
        <f t="shared" si="69"/>
        <v>#DIV/0!</v>
      </c>
      <c r="M185" s="283" t="e">
        <f t="shared" si="69"/>
        <v>#DIV/0!</v>
      </c>
      <c r="N185" s="283" t="e">
        <f t="shared" si="69"/>
        <v>#DIV/0!</v>
      </c>
      <c r="O185" s="283" t="e">
        <f t="shared" si="69"/>
        <v>#DIV/0!</v>
      </c>
      <c r="P185" s="283" t="e">
        <f t="shared" si="69"/>
        <v>#DIV/0!</v>
      </c>
      <c r="Q185" s="639" t="e">
        <f t="shared" si="69"/>
        <v>#DIV/0!</v>
      </c>
    </row>
    <row r="186" spans="3:17" s="182" customFormat="1">
      <c r="C186" s="638">
        <v>2</v>
      </c>
      <c r="D186" s="283"/>
      <c r="E186" s="650"/>
      <c r="F186" s="283">
        <f>F$180*F$173</f>
        <v>0</v>
      </c>
      <c r="G186" s="283" t="e">
        <f t="shared" si="69"/>
        <v>#DIV/0!</v>
      </c>
      <c r="H186" s="283" t="e">
        <f t="shared" si="69"/>
        <v>#DIV/0!</v>
      </c>
      <c r="I186" s="283" t="e">
        <f t="shared" si="69"/>
        <v>#DIV/0!</v>
      </c>
      <c r="J186" s="283" t="e">
        <f t="shared" si="69"/>
        <v>#DIV/0!</v>
      </c>
      <c r="K186" s="283" t="e">
        <f t="shared" si="69"/>
        <v>#DIV/0!</v>
      </c>
      <c r="L186" s="283" t="e">
        <f t="shared" si="69"/>
        <v>#DIV/0!</v>
      </c>
      <c r="M186" s="283" t="e">
        <f t="shared" si="69"/>
        <v>#DIV/0!</v>
      </c>
      <c r="N186" s="283" t="e">
        <f t="shared" si="69"/>
        <v>#DIV/0!</v>
      </c>
      <c r="O186" s="283" t="e">
        <f t="shared" si="69"/>
        <v>#DIV/0!</v>
      </c>
      <c r="P186" s="283" t="e">
        <f t="shared" si="69"/>
        <v>#DIV/0!</v>
      </c>
      <c r="Q186" s="639" t="e">
        <f t="shared" si="69"/>
        <v>#DIV/0!</v>
      </c>
    </row>
    <row r="187" spans="3:17" s="182" customFormat="1">
      <c r="C187" s="638">
        <v>3</v>
      </c>
      <c r="D187" s="283"/>
      <c r="E187" s="650"/>
      <c r="F187" s="283">
        <f>F$180*F$173</f>
        <v>0</v>
      </c>
      <c r="G187" s="283" t="e">
        <f t="shared" si="69"/>
        <v>#DIV/0!</v>
      </c>
      <c r="H187" s="283" t="e">
        <f t="shared" si="69"/>
        <v>#DIV/0!</v>
      </c>
      <c r="I187" s="283" t="e">
        <f t="shared" si="69"/>
        <v>#DIV/0!</v>
      </c>
      <c r="J187" s="283" t="e">
        <f t="shared" si="69"/>
        <v>#DIV/0!</v>
      </c>
      <c r="K187" s="283" t="e">
        <f t="shared" si="69"/>
        <v>#DIV/0!</v>
      </c>
      <c r="L187" s="283" t="e">
        <f t="shared" si="69"/>
        <v>#DIV/0!</v>
      </c>
      <c r="M187" s="283" t="e">
        <f t="shared" si="69"/>
        <v>#DIV/0!</v>
      </c>
      <c r="N187" s="283" t="e">
        <f t="shared" si="69"/>
        <v>#DIV/0!</v>
      </c>
      <c r="O187" s="283" t="e">
        <f t="shared" si="69"/>
        <v>#DIV/0!</v>
      </c>
      <c r="P187" s="283" t="e">
        <f t="shared" si="69"/>
        <v>#DIV/0!</v>
      </c>
      <c r="Q187" s="639" t="e">
        <f t="shared" si="69"/>
        <v>#DIV/0!</v>
      </c>
    </row>
    <row r="188" spans="3:17" s="182" customFormat="1">
      <c r="C188" s="638">
        <v>4</v>
      </c>
      <c r="D188" s="283"/>
      <c r="E188" s="650"/>
      <c r="F188" s="283">
        <f>F$180*F$173</f>
        <v>0</v>
      </c>
      <c r="G188" s="283" t="e">
        <f t="shared" si="69"/>
        <v>#DIV/0!</v>
      </c>
      <c r="H188" s="283" t="e">
        <f t="shared" si="69"/>
        <v>#DIV/0!</v>
      </c>
      <c r="I188" s="283" t="e">
        <f t="shared" si="69"/>
        <v>#DIV/0!</v>
      </c>
      <c r="J188" s="283" t="e">
        <f t="shared" si="69"/>
        <v>#DIV/0!</v>
      </c>
      <c r="K188" s="283" t="e">
        <f t="shared" si="69"/>
        <v>#DIV/0!</v>
      </c>
      <c r="L188" s="283" t="e">
        <f t="shared" si="69"/>
        <v>#DIV/0!</v>
      </c>
      <c r="M188" s="283" t="e">
        <f t="shared" si="69"/>
        <v>#DIV/0!</v>
      </c>
      <c r="N188" s="283" t="e">
        <f t="shared" si="69"/>
        <v>#DIV/0!</v>
      </c>
      <c r="O188" s="283" t="e">
        <f t="shared" si="69"/>
        <v>#DIV/0!</v>
      </c>
      <c r="P188" s="283" t="e">
        <f t="shared" si="69"/>
        <v>#DIV/0!</v>
      </c>
      <c r="Q188" s="639" t="e">
        <f t="shared" si="69"/>
        <v>#DIV/0!</v>
      </c>
    </row>
    <row r="189" spans="3:17" s="182" customFormat="1">
      <c r="C189" s="638">
        <v>5</v>
      </c>
      <c r="D189" s="283"/>
      <c r="E189" s="650"/>
      <c r="F189" s="283">
        <f>F$180*F$173</f>
        <v>0</v>
      </c>
      <c r="G189" s="283" t="e">
        <f t="shared" si="69"/>
        <v>#DIV/0!</v>
      </c>
      <c r="H189" s="283" t="e">
        <f t="shared" si="69"/>
        <v>#DIV/0!</v>
      </c>
      <c r="I189" s="283" t="e">
        <f t="shared" si="69"/>
        <v>#DIV/0!</v>
      </c>
      <c r="J189" s="283" t="e">
        <f t="shared" si="69"/>
        <v>#DIV/0!</v>
      </c>
      <c r="K189" s="283" t="e">
        <f t="shared" si="69"/>
        <v>#DIV/0!</v>
      </c>
      <c r="L189" s="283" t="e">
        <f t="shared" si="69"/>
        <v>#DIV/0!</v>
      </c>
      <c r="M189" s="283" t="e">
        <f t="shared" si="69"/>
        <v>#DIV/0!</v>
      </c>
      <c r="N189" s="283" t="e">
        <f t="shared" si="69"/>
        <v>#DIV/0!</v>
      </c>
      <c r="O189" s="283" t="e">
        <f t="shared" si="69"/>
        <v>#DIV/0!</v>
      </c>
      <c r="P189" s="283" t="e">
        <f t="shared" si="69"/>
        <v>#DIV/0!</v>
      </c>
      <c r="Q189" s="639" t="e">
        <f t="shared" si="69"/>
        <v>#DIV/0!</v>
      </c>
    </row>
    <row r="190" spans="3:17" s="182" customFormat="1">
      <c r="C190" s="638"/>
      <c r="Q190" s="643"/>
    </row>
    <row r="191" spans="3:17" s="182" customFormat="1" ht="16">
      <c r="C191" s="638" t="s">
        <v>173</v>
      </c>
      <c r="D191" s="283"/>
      <c r="E191" s="283"/>
      <c r="F191" s="283">
        <f>E185+D186</f>
        <v>0</v>
      </c>
      <c r="G191" s="283">
        <f>F185+E186+D187</f>
        <v>0</v>
      </c>
      <c r="H191" s="283" t="e">
        <f>G185+F186+E187+D188</f>
        <v>#DIV/0!</v>
      </c>
      <c r="I191" s="283" t="e">
        <f>H185+G186+F187+E188+D189</f>
        <v>#DIV/0!</v>
      </c>
      <c r="J191" s="283" t="e">
        <f>I185+H186+G187+F188+E189</f>
        <v>#DIV/0!</v>
      </c>
      <c r="K191" s="283" t="e">
        <f t="shared" ref="K191:Q191" si="70">J185+I186+H187+G188+F189</f>
        <v>#DIV/0!</v>
      </c>
      <c r="L191" s="283" t="e">
        <f t="shared" si="70"/>
        <v>#DIV/0!</v>
      </c>
      <c r="M191" s="283" t="e">
        <f t="shared" si="70"/>
        <v>#DIV/0!</v>
      </c>
      <c r="N191" s="283" t="e">
        <f t="shared" si="70"/>
        <v>#DIV/0!</v>
      </c>
      <c r="O191" s="283" t="e">
        <f t="shared" si="70"/>
        <v>#DIV/0!</v>
      </c>
      <c r="P191" s="283" t="e">
        <f t="shared" si="70"/>
        <v>#DIV/0!</v>
      </c>
      <c r="Q191" s="639" t="e">
        <f t="shared" si="70"/>
        <v>#DIV/0!</v>
      </c>
    </row>
    <row r="192" spans="3:17" s="182" customFormat="1" ht="16">
      <c r="C192" s="638" t="s">
        <v>174</v>
      </c>
      <c r="D192" s="283"/>
      <c r="E192" s="283"/>
      <c r="F192" s="283">
        <f t="shared" ref="F192:Q192" si="71">F184</f>
        <v>0</v>
      </c>
      <c r="G192" s="283">
        <f t="shared" si="71"/>
        <v>0</v>
      </c>
      <c r="H192" s="283">
        <f t="shared" si="71"/>
        <v>0</v>
      </c>
      <c r="I192" s="283">
        <f t="shared" si="71"/>
        <v>0</v>
      </c>
      <c r="J192" s="283">
        <f t="shared" si="71"/>
        <v>0</v>
      </c>
      <c r="K192" s="283">
        <f t="shared" si="71"/>
        <v>0</v>
      </c>
      <c r="L192" s="283">
        <f t="shared" si="71"/>
        <v>0</v>
      </c>
      <c r="M192" s="283">
        <f t="shared" si="71"/>
        <v>0</v>
      </c>
      <c r="N192" s="283">
        <f t="shared" si="71"/>
        <v>0</v>
      </c>
      <c r="O192" s="283">
        <f t="shared" si="71"/>
        <v>0</v>
      </c>
      <c r="P192" s="283">
        <f t="shared" si="71"/>
        <v>0</v>
      </c>
      <c r="Q192" s="639">
        <f t="shared" si="71"/>
        <v>0</v>
      </c>
    </row>
    <row r="193" spans="3:17" s="182" customFormat="1">
      <c r="C193" s="638"/>
      <c r="Q193" s="643"/>
    </row>
    <row r="194" spans="3:17" s="182" customFormat="1">
      <c r="C194" s="644">
        <v>10</v>
      </c>
      <c r="D194" s="322">
        <v>2022</v>
      </c>
      <c r="E194" s="322">
        <v>2023</v>
      </c>
      <c r="F194" s="322">
        <v>2024</v>
      </c>
      <c r="G194" s="322">
        <v>2025</v>
      </c>
      <c r="H194" s="322">
        <v>2026</v>
      </c>
      <c r="I194" s="322">
        <v>2027</v>
      </c>
      <c r="J194" s="322">
        <v>2028</v>
      </c>
      <c r="K194" s="322">
        <v>2029</v>
      </c>
      <c r="L194" s="322">
        <v>2030</v>
      </c>
      <c r="M194" s="322">
        <v>2031</v>
      </c>
      <c r="N194" s="322">
        <v>2032</v>
      </c>
      <c r="O194" s="322">
        <v>2033</v>
      </c>
      <c r="P194" s="322">
        <v>2034</v>
      </c>
      <c r="Q194" s="645">
        <v>2035</v>
      </c>
    </row>
    <row r="195" spans="3:17" s="182" customFormat="1" ht="16">
      <c r="C195" s="638" t="s">
        <v>177</v>
      </c>
      <c r="D195" s="291"/>
      <c r="E195" s="291"/>
      <c r="F195" s="291">
        <f>'Deuda a emitir'!F34</f>
        <v>0</v>
      </c>
      <c r="G195" s="291">
        <f>'Deuda a emitir'!G34</f>
        <v>0</v>
      </c>
      <c r="H195" s="291">
        <f>'Deuda a emitir'!H34</f>
        <v>0</v>
      </c>
      <c r="I195" s="291">
        <f>'Deuda a emitir'!I34</f>
        <v>0</v>
      </c>
      <c r="J195" s="291">
        <f>'Deuda a emitir'!J34</f>
        <v>0</v>
      </c>
      <c r="K195" s="291">
        <f>'Deuda a emitir'!K34</f>
        <v>0</v>
      </c>
      <c r="L195" s="291">
        <f>'Deuda a emitir'!L34</f>
        <v>0</v>
      </c>
      <c r="M195" s="291">
        <f>'Deuda a emitir'!M34</f>
        <v>0</v>
      </c>
      <c r="N195" s="291">
        <f>'Deuda a emitir'!N34</f>
        <v>0</v>
      </c>
      <c r="O195" s="291">
        <f>'Deuda a emitir'!O34</f>
        <v>0</v>
      </c>
      <c r="P195" s="291">
        <f>'Deuda a emitir'!P34</f>
        <v>0</v>
      </c>
      <c r="Q195" s="649">
        <f>'Deuda a emitir'!Q34</f>
        <v>0</v>
      </c>
    </row>
    <row r="196" spans="3:17" s="182" customFormat="1" ht="16">
      <c r="C196" s="638" t="s">
        <v>178</v>
      </c>
      <c r="D196" s="271"/>
      <c r="E196" s="271"/>
      <c r="F196" s="271">
        <f>'Deuda a emitir'!F35</f>
        <v>0</v>
      </c>
      <c r="G196" s="271">
        <f>'Deuda a emitir'!G35</f>
        <v>0</v>
      </c>
      <c r="H196" s="271">
        <f>'Deuda a emitir'!H35</f>
        <v>0</v>
      </c>
      <c r="I196" s="271">
        <f>'Deuda a emitir'!I35</f>
        <v>0</v>
      </c>
      <c r="J196" s="271">
        <f>'Deuda a emitir'!J35</f>
        <v>0</v>
      </c>
      <c r="K196" s="271">
        <f>'Deuda a emitir'!K35</f>
        <v>0</v>
      </c>
      <c r="L196" s="271">
        <f>'Deuda a emitir'!L35</f>
        <v>0</v>
      </c>
      <c r="M196" s="271">
        <f>'Deuda a emitir'!M35</f>
        <v>0</v>
      </c>
      <c r="N196" s="271">
        <f>'Deuda a emitir'!N35</f>
        <v>0</v>
      </c>
      <c r="O196" s="271">
        <f>'Deuda a emitir'!O35</f>
        <v>0</v>
      </c>
      <c r="P196" s="271">
        <f>'Deuda a emitir'!P35</f>
        <v>0</v>
      </c>
      <c r="Q196" s="651">
        <f>'Deuda a emitir'!Q35</f>
        <v>0</v>
      </c>
    </row>
    <row r="197" spans="3:17" s="182" customFormat="1" ht="16">
      <c r="C197" s="638" t="s">
        <v>179</v>
      </c>
      <c r="D197" s="326"/>
      <c r="E197" s="326"/>
      <c r="F197" s="326">
        <f>'Deuda a emitir'!F36</f>
        <v>10</v>
      </c>
      <c r="G197" s="326">
        <f>'Deuda a emitir'!G36</f>
        <v>10</v>
      </c>
      <c r="H197" s="326">
        <f>'Deuda a emitir'!H36</f>
        <v>10</v>
      </c>
      <c r="I197" s="326">
        <f>'Deuda a emitir'!I36</f>
        <v>10</v>
      </c>
      <c r="J197" s="326">
        <f>'Deuda a emitir'!J36</f>
        <v>10</v>
      </c>
      <c r="K197" s="326">
        <f>'Deuda a emitir'!K36</f>
        <v>10</v>
      </c>
      <c r="L197" s="326">
        <f>'Deuda a emitir'!L36</f>
        <v>10</v>
      </c>
      <c r="M197" s="326">
        <f>'Deuda a emitir'!M36</f>
        <v>10</v>
      </c>
      <c r="N197" s="326">
        <f>'Deuda a emitir'!N36</f>
        <v>10</v>
      </c>
      <c r="O197" s="326">
        <f>'Deuda a emitir'!O36</f>
        <v>10</v>
      </c>
      <c r="P197" s="326">
        <f>'Deuda a emitir'!P36</f>
        <v>10</v>
      </c>
      <c r="Q197" s="647">
        <f>'Deuda a emitir'!Q36</f>
        <v>10</v>
      </c>
    </row>
    <row r="198" spans="3:17" s="182" customFormat="1" ht="16">
      <c r="C198" s="638" t="s">
        <v>72</v>
      </c>
      <c r="D198" s="326"/>
      <c r="E198" s="326"/>
      <c r="F198" s="326">
        <f t="shared" ref="F198:Q198" si="72">F194+F197</f>
        <v>2034</v>
      </c>
      <c r="G198" s="326">
        <f t="shared" si="72"/>
        <v>2035</v>
      </c>
      <c r="H198" s="326">
        <f t="shared" si="72"/>
        <v>2036</v>
      </c>
      <c r="I198" s="326">
        <f t="shared" si="72"/>
        <v>2037</v>
      </c>
      <c r="J198" s="326">
        <f t="shared" si="72"/>
        <v>2038</v>
      </c>
      <c r="K198" s="326">
        <f t="shared" si="72"/>
        <v>2039</v>
      </c>
      <c r="L198" s="326">
        <f t="shared" si="72"/>
        <v>2040</v>
      </c>
      <c r="M198" s="326">
        <f t="shared" si="72"/>
        <v>2041</v>
      </c>
      <c r="N198" s="326">
        <f t="shared" si="72"/>
        <v>2042</v>
      </c>
      <c r="O198" s="326">
        <f t="shared" si="72"/>
        <v>2043</v>
      </c>
      <c r="P198" s="326">
        <f t="shared" si="72"/>
        <v>2044</v>
      </c>
      <c r="Q198" s="647">
        <f t="shared" si="72"/>
        <v>2045</v>
      </c>
    </row>
    <row r="199" spans="3:17" s="182" customFormat="1" ht="16">
      <c r="C199" s="638" t="s">
        <v>180</v>
      </c>
      <c r="D199" s="271"/>
      <c r="E199" s="271"/>
      <c r="F199" s="271">
        <f>'Deuda a emitir'!F26</f>
        <v>0</v>
      </c>
      <c r="G199" s="271">
        <f>'Deuda a emitir'!G26</f>
        <v>0</v>
      </c>
      <c r="H199" s="271">
        <f>'Deuda a emitir'!H26</f>
        <v>0</v>
      </c>
      <c r="I199" s="271">
        <f>'Deuda a emitir'!I26</f>
        <v>0</v>
      </c>
      <c r="J199" s="271">
        <f>'Deuda a emitir'!J26</f>
        <v>0</v>
      </c>
      <c r="K199" s="271">
        <f>'Deuda a emitir'!K26</f>
        <v>0</v>
      </c>
      <c r="L199" s="271">
        <f>'Deuda a emitir'!L26</f>
        <v>0</v>
      </c>
      <c r="M199" s="271">
        <f>'Deuda a emitir'!M26</f>
        <v>0</v>
      </c>
      <c r="N199" s="271">
        <f>'Deuda a emitir'!N26</f>
        <v>0</v>
      </c>
      <c r="O199" s="271">
        <f>'Deuda a emitir'!O26</f>
        <v>0</v>
      </c>
      <c r="P199" s="271">
        <f>'Deuda a emitir'!P26</f>
        <v>0</v>
      </c>
      <c r="Q199" s="651">
        <f>'Deuda a emitir'!Q26</f>
        <v>0</v>
      </c>
    </row>
    <row r="200" spans="3:17" s="182" customFormat="1" ht="16">
      <c r="C200" s="638" t="s">
        <v>181</v>
      </c>
      <c r="D200" s="313"/>
      <c r="E200" s="313"/>
      <c r="F200" s="313">
        <f t="shared" ref="F200:Q200" si="73">F$164*F199</f>
        <v>0</v>
      </c>
      <c r="G200" s="313" t="e">
        <f t="shared" si="73"/>
        <v>#DIV/0!</v>
      </c>
      <c r="H200" s="313" t="e">
        <f t="shared" si="73"/>
        <v>#DIV/0!</v>
      </c>
      <c r="I200" s="313" t="e">
        <f t="shared" si="73"/>
        <v>#DIV/0!</v>
      </c>
      <c r="J200" s="313" t="e">
        <f t="shared" si="73"/>
        <v>#DIV/0!</v>
      </c>
      <c r="K200" s="313" t="e">
        <f t="shared" si="73"/>
        <v>#DIV/0!</v>
      </c>
      <c r="L200" s="313" t="e">
        <f t="shared" si="73"/>
        <v>#DIV/0!</v>
      </c>
      <c r="M200" s="313" t="e">
        <f t="shared" si="73"/>
        <v>#DIV/0!</v>
      </c>
      <c r="N200" s="313" t="e">
        <f t="shared" si="73"/>
        <v>#DIV/0!</v>
      </c>
      <c r="O200" s="313" t="e">
        <f t="shared" si="73"/>
        <v>#DIV/0!</v>
      </c>
      <c r="P200" s="313" t="e">
        <f t="shared" si="73"/>
        <v>#DIV/0!</v>
      </c>
      <c r="Q200" s="652" t="e">
        <f t="shared" si="73"/>
        <v>#DIV/0!</v>
      </c>
    </row>
    <row r="201" spans="3:17" s="182" customFormat="1" ht="16">
      <c r="C201" s="638" t="s">
        <v>182</v>
      </c>
      <c r="D201" s="313"/>
      <c r="E201" s="313"/>
      <c r="F201" s="313">
        <f t="shared" ref="F201:Q201" si="74">F$165*F199</f>
        <v>0</v>
      </c>
      <c r="G201" s="313">
        <f t="shared" si="74"/>
        <v>0</v>
      </c>
      <c r="H201" s="313">
        <f t="shared" si="74"/>
        <v>0</v>
      </c>
      <c r="I201" s="313">
        <f t="shared" si="74"/>
        <v>0</v>
      </c>
      <c r="J201" s="313">
        <f t="shared" si="74"/>
        <v>0</v>
      </c>
      <c r="K201" s="313">
        <f t="shared" si="74"/>
        <v>0</v>
      </c>
      <c r="L201" s="313">
        <f t="shared" si="74"/>
        <v>0</v>
      </c>
      <c r="M201" s="313">
        <f t="shared" si="74"/>
        <v>0</v>
      </c>
      <c r="N201" s="313">
        <f t="shared" si="74"/>
        <v>0</v>
      </c>
      <c r="O201" s="313">
        <f t="shared" si="74"/>
        <v>0</v>
      </c>
      <c r="P201" s="313">
        <f t="shared" si="74"/>
        <v>0</v>
      </c>
      <c r="Q201" s="652">
        <f t="shared" si="74"/>
        <v>0</v>
      </c>
    </row>
    <row r="202" spans="3:17" s="182" customFormat="1" ht="16">
      <c r="C202" s="640" t="s">
        <v>183</v>
      </c>
      <c r="D202" s="288"/>
      <c r="E202" s="288"/>
      <c r="F202" s="288">
        <f t="shared" ref="F202:P202" si="75">SUM(F200:F201)</f>
        <v>0</v>
      </c>
      <c r="G202" s="288" t="e">
        <f t="shared" si="75"/>
        <v>#DIV/0!</v>
      </c>
      <c r="H202" s="288" t="e">
        <f t="shared" si="75"/>
        <v>#DIV/0!</v>
      </c>
      <c r="I202" s="288" t="e">
        <f t="shared" si="75"/>
        <v>#DIV/0!</v>
      </c>
      <c r="J202" s="288" t="e">
        <f t="shared" si="75"/>
        <v>#DIV/0!</v>
      </c>
      <c r="K202" s="288" t="e">
        <f t="shared" si="75"/>
        <v>#DIV/0!</v>
      </c>
      <c r="L202" s="288" t="e">
        <f t="shared" si="75"/>
        <v>#DIV/0!</v>
      </c>
      <c r="M202" s="288" t="e">
        <f t="shared" si="75"/>
        <v>#DIV/0!</v>
      </c>
      <c r="N202" s="288" t="e">
        <f t="shared" si="75"/>
        <v>#DIV/0!</v>
      </c>
      <c r="O202" s="288" t="e">
        <f t="shared" si="75"/>
        <v>#DIV/0!</v>
      </c>
      <c r="P202" s="288" t="e">
        <f t="shared" si="75"/>
        <v>#DIV/0!</v>
      </c>
      <c r="Q202" s="653" t="e">
        <f t="shared" ref="Q202" si="76">SUM(Q200:Q201)</f>
        <v>#DIV/0!</v>
      </c>
    </row>
    <row r="203" spans="3:17" s="182" customFormat="1">
      <c r="C203" s="638"/>
      <c r="D203" s="283"/>
      <c r="E203" s="283"/>
      <c r="F203" s="283"/>
      <c r="G203" s="283"/>
      <c r="H203" s="283"/>
      <c r="I203" s="283"/>
      <c r="J203" s="283"/>
      <c r="K203" s="283"/>
      <c r="L203" s="283"/>
      <c r="M203" s="283"/>
      <c r="N203" s="283"/>
      <c r="O203" s="283"/>
      <c r="P203" s="283"/>
      <c r="Q203" s="639"/>
    </row>
    <row r="204" spans="3:17" s="182" customFormat="1" ht="16">
      <c r="C204" s="638" t="s">
        <v>184</v>
      </c>
      <c r="D204" s="283"/>
      <c r="E204" s="283"/>
      <c r="F204" s="283">
        <f t="shared" ref="F204:Q204" si="77">NPV(F196,F207:F215,(F216+F202))-F202</f>
        <v>0</v>
      </c>
      <c r="G204" s="283" t="e">
        <f t="shared" si="77"/>
        <v>#DIV/0!</v>
      </c>
      <c r="H204" s="283" t="e">
        <f t="shared" si="77"/>
        <v>#DIV/0!</v>
      </c>
      <c r="I204" s="283" t="e">
        <f t="shared" si="77"/>
        <v>#DIV/0!</v>
      </c>
      <c r="J204" s="283" t="e">
        <f t="shared" si="77"/>
        <v>#DIV/0!</v>
      </c>
      <c r="K204" s="283" t="e">
        <f t="shared" si="77"/>
        <v>#DIV/0!</v>
      </c>
      <c r="L204" s="283" t="e">
        <f t="shared" si="77"/>
        <v>#DIV/0!</v>
      </c>
      <c r="M204" s="283" t="e">
        <f t="shared" si="77"/>
        <v>#DIV/0!</v>
      </c>
      <c r="N204" s="283" t="e">
        <f t="shared" si="77"/>
        <v>#DIV/0!</v>
      </c>
      <c r="O204" s="283" t="e">
        <f t="shared" si="77"/>
        <v>#DIV/0!</v>
      </c>
      <c r="P204" s="283" t="e">
        <f t="shared" si="77"/>
        <v>#DIV/0!</v>
      </c>
      <c r="Q204" s="639" t="e">
        <f t="shared" si="77"/>
        <v>#DIV/0!</v>
      </c>
    </row>
    <row r="205" spans="3:17" s="182" customFormat="1">
      <c r="C205" s="654"/>
      <c r="E205" s="288"/>
      <c r="F205" s="655"/>
      <c r="G205" s="655"/>
      <c r="H205" s="655"/>
      <c r="I205" s="655"/>
      <c r="J205" s="655"/>
      <c r="K205" s="655"/>
      <c r="L205" s="655"/>
      <c r="M205" s="655"/>
      <c r="N205" s="655"/>
      <c r="O205" s="655"/>
      <c r="P205" s="655"/>
      <c r="Q205" s="656"/>
    </row>
    <row r="206" spans="3:17" s="182" customFormat="1">
      <c r="C206" s="638">
        <v>0</v>
      </c>
      <c r="D206" s="283"/>
      <c r="E206" s="288"/>
      <c r="F206" s="655"/>
      <c r="G206" s="655"/>
      <c r="H206" s="655"/>
      <c r="I206" s="655"/>
      <c r="J206" s="655"/>
      <c r="K206" s="655"/>
      <c r="L206" s="655"/>
      <c r="M206" s="655"/>
      <c r="N206" s="655"/>
      <c r="O206" s="655"/>
      <c r="P206" s="655"/>
      <c r="Q206" s="656"/>
    </row>
    <row r="207" spans="3:17" s="182" customFormat="1">
      <c r="C207" s="638">
        <v>1</v>
      </c>
      <c r="D207" s="283"/>
      <c r="E207" s="283"/>
      <c r="F207" s="283">
        <f t="shared" ref="F207:Q210" si="78">F$202*F$195</f>
        <v>0</v>
      </c>
      <c r="G207" s="283" t="e">
        <f t="shared" si="78"/>
        <v>#DIV/0!</v>
      </c>
      <c r="H207" s="283" t="e">
        <f t="shared" si="78"/>
        <v>#DIV/0!</v>
      </c>
      <c r="I207" s="283" t="e">
        <f t="shared" si="78"/>
        <v>#DIV/0!</v>
      </c>
      <c r="J207" s="283" t="e">
        <f t="shared" si="78"/>
        <v>#DIV/0!</v>
      </c>
      <c r="K207" s="283" t="e">
        <f t="shared" si="78"/>
        <v>#DIV/0!</v>
      </c>
      <c r="L207" s="283" t="e">
        <f t="shared" si="78"/>
        <v>#DIV/0!</v>
      </c>
      <c r="M207" s="283" t="e">
        <f t="shared" si="78"/>
        <v>#DIV/0!</v>
      </c>
      <c r="N207" s="283" t="e">
        <f t="shared" si="78"/>
        <v>#DIV/0!</v>
      </c>
      <c r="O207" s="283" t="e">
        <f t="shared" si="78"/>
        <v>#DIV/0!</v>
      </c>
      <c r="P207" s="283" t="e">
        <f t="shared" si="78"/>
        <v>#DIV/0!</v>
      </c>
      <c r="Q207" s="639" t="e">
        <f t="shared" si="78"/>
        <v>#DIV/0!</v>
      </c>
    </row>
    <row r="208" spans="3:17" s="182" customFormat="1">
      <c r="C208" s="638">
        <v>2</v>
      </c>
      <c r="D208" s="283"/>
      <c r="E208" s="283"/>
      <c r="F208" s="283">
        <f t="shared" si="78"/>
        <v>0</v>
      </c>
      <c r="G208" s="283" t="e">
        <f t="shared" si="78"/>
        <v>#DIV/0!</v>
      </c>
      <c r="H208" s="283" t="e">
        <f t="shared" si="78"/>
        <v>#DIV/0!</v>
      </c>
      <c r="I208" s="283" t="e">
        <f t="shared" si="78"/>
        <v>#DIV/0!</v>
      </c>
      <c r="J208" s="283" t="e">
        <f t="shared" si="78"/>
        <v>#DIV/0!</v>
      </c>
      <c r="K208" s="283" t="e">
        <f t="shared" si="78"/>
        <v>#DIV/0!</v>
      </c>
      <c r="L208" s="283" t="e">
        <f t="shared" si="78"/>
        <v>#DIV/0!</v>
      </c>
      <c r="M208" s="283" t="e">
        <f t="shared" si="78"/>
        <v>#DIV/0!</v>
      </c>
      <c r="N208" s="283" t="e">
        <f t="shared" si="78"/>
        <v>#DIV/0!</v>
      </c>
      <c r="O208" s="283" t="e">
        <f t="shared" si="78"/>
        <v>#DIV/0!</v>
      </c>
      <c r="P208" s="283" t="e">
        <f t="shared" si="78"/>
        <v>#DIV/0!</v>
      </c>
      <c r="Q208" s="639" t="e">
        <f t="shared" si="78"/>
        <v>#DIV/0!</v>
      </c>
    </row>
    <row r="209" spans="3:17" s="182" customFormat="1">
      <c r="C209" s="638">
        <v>3</v>
      </c>
      <c r="D209" s="283"/>
      <c r="E209" s="283"/>
      <c r="F209" s="283">
        <f t="shared" si="78"/>
        <v>0</v>
      </c>
      <c r="G209" s="283" t="e">
        <f t="shared" si="78"/>
        <v>#DIV/0!</v>
      </c>
      <c r="H209" s="283" t="e">
        <f t="shared" si="78"/>
        <v>#DIV/0!</v>
      </c>
      <c r="I209" s="283" t="e">
        <f t="shared" si="78"/>
        <v>#DIV/0!</v>
      </c>
      <c r="J209" s="283" t="e">
        <f t="shared" si="78"/>
        <v>#DIV/0!</v>
      </c>
      <c r="K209" s="283" t="e">
        <f t="shared" si="78"/>
        <v>#DIV/0!</v>
      </c>
      <c r="L209" s="283" t="e">
        <f t="shared" si="78"/>
        <v>#DIV/0!</v>
      </c>
      <c r="M209" s="283" t="e">
        <f t="shared" si="78"/>
        <v>#DIV/0!</v>
      </c>
      <c r="N209" s="283" t="e">
        <f t="shared" si="78"/>
        <v>#DIV/0!</v>
      </c>
      <c r="O209" s="283" t="e">
        <f t="shared" si="78"/>
        <v>#DIV/0!</v>
      </c>
      <c r="P209" s="283" t="e">
        <f t="shared" si="78"/>
        <v>#DIV/0!</v>
      </c>
      <c r="Q209" s="639" t="e">
        <f t="shared" si="78"/>
        <v>#DIV/0!</v>
      </c>
    </row>
    <row r="210" spans="3:17" s="182" customFormat="1">
      <c r="C210" s="638">
        <v>4</v>
      </c>
      <c r="D210" s="283"/>
      <c r="E210" s="283"/>
      <c r="F210" s="283">
        <f t="shared" si="78"/>
        <v>0</v>
      </c>
      <c r="G210" s="283" t="e">
        <f t="shared" si="78"/>
        <v>#DIV/0!</v>
      </c>
      <c r="H210" s="283" t="e">
        <f t="shared" si="78"/>
        <v>#DIV/0!</v>
      </c>
      <c r="I210" s="283" t="e">
        <f t="shared" si="78"/>
        <v>#DIV/0!</v>
      </c>
      <c r="J210" s="283" t="e">
        <f t="shared" si="78"/>
        <v>#DIV/0!</v>
      </c>
      <c r="K210" s="283" t="e">
        <f t="shared" si="78"/>
        <v>#DIV/0!</v>
      </c>
      <c r="L210" s="283" t="e">
        <f t="shared" si="78"/>
        <v>#DIV/0!</v>
      </c>
      <c r="M210" s="283" t="e">
        <f t="shared" si="78"/>
        <v>#DIV/0!</v>
      </c>
      <c r="N210" s="283" t="e">
        <f t="shared" si="78"/>
        <v>#DIV/0!</v>
      </c>
      <c r="O210" s="283" t="e">
        <f t="shared" si="78"/>
        <v>#DIV/0!</v>
      </c>
      <c r="P210" s="283" t="e">
        <f t="shared" si="78"/>
        <v>#DIV/0!</v>
      </c>
      <c r="Q210" s="639" t="e">
        <f t="shared" si="78"/>
        <v>#DIV/0!</v>
      </c>
    </row>
    <row r="211" spans="3:17" s="182" customFormat="1">
      <c r="C211" s="638">
        <v>5</v>
      </c>
      <c r="D211" s="283"/>
      <c r="E211" s="283"/>
      <c r="F211" s="283">
        <f t="shared" ref="F211:Q216" si="79">F$202*F$195</f>
        <v>0</v>
      </c>
      <c r="G211" s="283" t="e">
        <f t="shared" si="79"/>
        <v>#DIV/0!</v>
      </c>
      <c r="H211" s="283" t="e">
        <f t="shared" si="79"/>
        <v>#DIV/0!</v>
      </c>
      <c r="I211" s="283" t="e">
        <f t="shared" si="79"/>
        <v>#DIV/0!</v>
      </c>
      <c r="J211" s="283" t="e">
        <f t="shared" si="79"/>
        <v>#DIV/0!</v>
      </c>
      <c r="K211" s="283" t="e">
        <f t="shared" si="79"/>
        <v>#DIV/0!</v>
      </c>
      <c r="L211" s="283" t="e">
        <f t="shared" si="79"/>
        <v>#DIV/0!</v>
      </c>
      <c r="M211" s="283" t="e">
        <f t="shared" si="79"/>
        <v>#DIV/0!</v>
      </c>
      <c r="N211" s="283" t="e">
        <f t="shared" si="79"/>
        <v>#DIV/0!</v>
      </c>
      <c r="O211" s="283" t="e">
        <f t="shared" si="79"/>
        <v>#DIV/0!</v>
      </c>
      <c r="P211" s="283" t="e">
        <f t="shared" si="79"/>
        <v>#DIV/0!</v>
      </c>
      <c r="Q211" s="639" t="e">
        <f t="shared" si="79"/>
        <v>#DIV/0!</v>
      </c>
    </row>
    <row r="212" spans="3:17" s="182" customFormat="1">
      <c r="C212" s="638">
        <v>6</v>
      </c>
      <c r="D212" s="283"/>
      <c r="E212" s="283"/>
      <c r="F212" s="283">
        <f t="shared" si="79"/>
        <v>0</v>
      </c>
      <c r="G212" s="283" t="e">
        <f t="shared" si="79"/>
        <v>#DIV/0!</v>
      </c>
      <c r="H212" s="283" t="e">
        <f t="shared" si="79"/>
        <v>#DIV/0!</v>
      </c>
      <c r="I212" s="283" t="e">
        <f t="shared" si="79"/>
        <v>#DIV/0!</v>
      </c>
      <c r="J212" s="283" t="e">
        <f t="shared" si="79"/>
        <v>#DIV/0!</v>
      </c>
      <c r="K212" s="283" t="e">
        <f t="shared" si="79"/>
        <v>#DIV/0!</v>
      </c>
      <c r="L212" s="283" t="e">
        <f t="shared" si="79"/>
        <v>#DIV/0!</v>
      </c>
      <c r="M212" s="283" t="e">
        <f t="shared" si="79"/>
        <v>#DIV/0!</v>
      </c>
      <c r="N212" s="283" t="e">
        <f t="shared" si="79"/>
        <v>#DIV/0!</v>
      </c>
      <c r="O212" s="283" t="e">
        <f t="shared" si="79"/>
        <v>#DIV/0!</v>
      </c>
      <c r="P212" s="283" t="e">
        <f t="shared" si="79"/>
        <v>#DIV/0!</v>
      </c>
      <c r="Q212" s="639" t="e">
        <f t="shared" si="79"/>
        <v>#DIV/0!</v>
      </c>
    </row>
    <row r="213" spans="3:17" s="182" customFormat="1">
      <c r="C213" s="638">
        <v>7</v>
      </c>
      <c r="D213" s="283"/>
      <c r="E213" s="283"/>
      <c r="F213" s="283">
        <f t="shared" si="79"/>
        <v>0</v>
      </c>
      <c r="G213" s="283" t="e">
        <f t="shared" si="79"/>
        <v>#DIV/0!</v>
      </c>
      <c r="H213" s="283" t="e">
        <f t="shared" si="79"/>
        <v>#DIV/0!</v>
      </c>
      <c r="I213" s="283" t="e">
        <f t="shared" si="79"/>
        <v>#DIV/0!</v>
      </c>
      <c r="J213" s="283" t="e">
        <f t="shared" si="79"/>
        <v>#DIV/0!</v>
      </c>
      <c r="K213" s="283" t="e">
        <f t="shared" si="79"/>
        <v>#DIV/0!</v>
      </c>
      <c r="L213" s="283" t="e">
        <f t="shared" si="79"/>
        <v>#DIV/0!</v>
      </c>
      <c r="M213" s="283" t="e">
        <f t="shared" si="79"/>
        <v>#DIV/0!</v>
      </c>
      <c r="N213" s="283" t="e">
        <f t="shared" si="79"/>
        <v>#DIV/0!</v>
      </c>
      <c r="O213" s="283" t="e">
        <f t="shared" si="79"/>
        <v>#DIV/0!</v>
      </c>
      <c r="P213" s="283" t="e">
        <f t="shared" si="79"/>
        <v>#DIV/0!</v>
      </c>
      <c r="Q213" s="639" t="e">
        <f t="shared" si="79"/>
        <v>#DIV/0!</v>
      </c>
    </row>
    <row r="214" spans="3:17" s="182" customFormat="1">
      <c r="C214" s="638">
        <v>8</v>
      </c>
      <c r="D214" s="283"/>
      <c r="E214" s="283"/>
      <c r="F214" s="283">
        <f t="shared" si="79"/>
        <v>0</v>
      </c>
      <c r="G214" s="283" t="e">
        <f t="shared" si="79"/>
        <v>#DIV/0!</v>
      </c>
      <c r="H214" s="283" t="e">
        <f t="shared" si="79"/>
        <v>#DIV/0!</v>
      </c>
      <c r="I214" s="283" t="e">
        <f t="shared" si="79"/>
        <v>#DIV/0!</v>
      </c>
      <c r="J214" s="283" t="e">
        <f t="shared" si="79"/>
        <v>#DIV/0!</v>
      </c>
      <c r="K214" s="283" t="e">
        <f t="shared" si="79"/>
        <v>#DIV/0!</v>
      </c>
      <c r="L214" s="283" t="e">
        <f t="shared" si="79"/>
        <v>#DIV/0!</v>
      </c>
      <c r="M214" s="283" t="e">
        <f t="shared" si="79"/>
        <v>#DIV/0!</v>
      </c>
      <c r="N214" s="283" t="e">
        <f t="shared" si="79"/>
        <v>#DIV/0!</v>
      </c>
      <c r="O214" s="283" t="e">
        <f t="shared" si="79"/>
        <v>#DIV/0!</v>
      </c>
      <c r="P214" s="283" t="e">
        <f t="shared" si="79"/>
        <v>#DIV/0!</v>
      </c>
      <c r="Q214" s="639" t="e">
        <f t="shared" si="79"/>
        <v>#DIV/0!</v>
      </c>
    </row>
    <row r="215" spans="3:17" s="182" customFormat="1">
      <c r="C215" s="638">
        <v>9</v>
      </c>
      <c r="D215" s="283"/>
      <c r="E215" s="283"/>
      <c r="F215" s="283">
        <f t="shared" si="79"/>
        <v>0</v>
      </c>
      <c r="G215" s="283" t="e">
        <f t="shared" si="79"/>
        <v>#DIV/0!</v>
      </c>
      <c r="H215" s="283" t="e">
        <f t="shared" si="79"/>
        <v>#DIV/0!</v>
      </c>
      <c r="I215" s="283" t="e">
        <f t="shared" si="79"/>
        <v>#DIV/0!</v>
      </c>
      <c r="J215" s="283" t="e">
        <f t="shared" si="79"/>
        <v>#DIV/0!</v>
      </c>
      <c r="K215" s="283" t="e">
        <f t="shared" si="79"/>
        <v>#DIV/0!</v>
      </c>
      <c r="L215" s="283" t="e">
        <f t="shared" si="79"/>
        <v>#DIV/0!</v>
      </c>
      <c r="M215" s="283" t="e">
        <f t="shared" si="79"/>
        <v>#DIV/0!</v>
      </c>
      <c r="N215" s="283" t="e">
        <f t="shared" si="79"/>
        <v>#DIV/0!</v>
      </c>
      <c r="O215" s="283" t="e">
        <f t="shared" si="79"/>
        <v>#DIV/0!</v>
      </c>
      <c r="P215" s="283" t="e">
        <f t="shared" si="79"/>
        <v>#DIV/0!</v>
      </c>
      <c r="Q215" s="639" t="e">
        <f t="shared" si="79"/>
        <v>#DIV/0!</v>
      </c>
    </row>
    <row r="216" spans="3:17" s="182" customFormat="1">
      <c r="C216" s="638">
        <v>10</v>
      </c>
      <c r="D216" s="283"/>
      <c r="E216" s="283"/>
      <c r="F216" s="283">
        <f t="shared" si="79"/>
        <v>0</v>
      </c>
      <c r="G216" s="283" t="e">
        <f t="shared" si="79"/>
        <v>#DIV/0!</v>
      </c>
      <c r="H216" s="283" t="e">
        <f t="shared" si="79"/>
        <v>#DIV/0!</v>
      </c>
      <c r="I216" s="283" t="e">
        <f t="shared" si="79"/>
        <v>#DIV/0!</v>
      </c>
      <c r="J216" s="283" t="e">
        <f t="shared" si="79"/>
        <v>#DIV/0!</v>
      </c>
      <c r="K216" s="283" t="e">
        <f t="shared" si="79"/>
        <v>#DIV/0!</v>
      </c>
      <c r="L216" s="283" t="e">
        <f t="shared" si="79"/>
        <v>#DIV/0!</v>
      </c>
      <c r="M216" s="283" t="e">
        <f t="shared" si="79"/>
        <v>#DIV/0!</v>
      </c>
      <c r="N216" s="283" t="e">
        <f t="shared" si="79"/>
        <v>#DIV/0!</v>
      </c>
      <c r="O216" s="283" t="e">
        <f t="shared" si="79"/>
        <v>#DIV/0!</v>
      </c>
      <c r="P216" s="283" t="e">
        <f t="shared" si="79"/>
        <v>#DIV/0!</v>
      </c>
      <c r="Q216" s="639" t="e">
        <f t="shared" si="79"/>
        <v>#DIV/0!</v>
      </c>
    </row>
    <row r="217" spans="3:17" s="182" customFormat="1">
      <c r="C217" s="638"/>
      <c r="Q217" s="643"/>
    </row>
    <row r="218" spans="3:17" s="182" customFormat="1" ht="16">
      <c r="C218" s="638" t="s">
        <v>173</v>
      </c>
      <c r="D218" s="283"/>
      <c r="E218" s="283"/>
      <c r="F218" s="283">
        <f>E207+D208</f>
        <v>0</v>
      </c>
      <c r="G218" s="283">
        <f>F207+E208+D209</f>
        <v>0</v>
      </c>
      <c r="H218" s="283" t="e">
        <f>G207+F208+E209+D210</f>
        <v>#DIV/0!</v>
      </c>
      <c r="I218" s="283" t="e">
        <f>H207+G208+F209+E210+D211</f>
        <v>#DIV/0!</v>
      </c>
      <c r="J218" s="283" t="e">
        <f>I207+H208+G209+F210+E211+D212</f>
        <v>#DIV/0!</v>
      </c>
      <c r="K218" s="283" t="e">
        <f>J207+I208+H209+G210+F211+E212+D213</f>
        <v>#DIV/0!</v>
      </c>
      <c r="L218" s="283" t="e">
        <f>K207+J208+I209+H210+G211+F212+E213+D214</f>
        <v>#DIV/0!</v>
      </c>
      <c r="M218" s="283" t="e">
        <f>L207+K208+J209+I210+H211+G212+F213+E214+D215</f>
        <v>#DIV/0!</v>
      </c>
      <c r="N218" s="283" t="e">
        <f>M207+L208+K209+J210+I211+H212+G213+F214+E215+D216</f>
        <v>#DIV/0!</v>
      </c>
      <c r="O218" s="283" t="e">
        <f>N207+M208+L209+K210+J211+I212+H213+G214+F215+E216</f>
        <v>#DIV/0!</v>
      </c>
      <c r="P218" s="283" t="e">
        <f>O207+N208+M209+L210+K211+J212+I213+H214+G215+F216</f>
        <v>#DIV/0!</v>
      </c>
      <c r="Q218" s="639" t="e">
        <f>P207+O208+N209+M210+L211+K212+J213+I214+H215+G216</f>
        <v>#DIV/0!</v>
      </c>
    </row>
    <row r="219" spans="3:17" s="182" customFormat="1" ht="16">
      <c r="C219" s="638" t="s">
        <v>174</v>
      </c>
      <c r="D219" s="283"/>
      <c r="E219" s="283"/>
      <c r="F219" s="283">
        <f t="shared" ref="F219:Q219" si="80">F206</f>
        <v>0</v>
      </c>
      <c r="G219" s="283">
        <f t="shared" si="80"/>
        <v>0</v>
      </c>
      <c r="H219" s="283">
        <f t="shared" si="80"/>
        <v>0</v>
      </c>
      <c r="I219" s="283">
        <f t="shared" si="80"/>
        <v>0</v>
      </c>
      <c r="J219" s="283">
        <f t="shared" si="80"/>
        <v>0</v>
      </c>
      <c r="K219" s="283">
        <f t="shared" si="80"/>
        <v>0</v>
      </c>
      <c r="L219" s="283">
        <f t="shared" si="80"/>
        <v>0</v>
      </c>
      <c r="M219" s="283">
        <f t="shared" si="80"/>
        <v>0</v>
      </c>
      <c r="N219" s="283">
        <f t="shared" si="80"/>
        <v>0</v>
      </c>
      <c r="O219" s="283">
        <f t="shared" si="80"/>
        <v>0</v>
      </c>
      <c r="P219" s="283">
        <f t="shared" si="80"/>
        <v>0</v>
      </c>
      <c r="Q219" s="639">
        <f t="shared" si="80"/>
        <v>0</v>
      </c>
    </row>
    <row r="220" spans="3:17" s="182" customFormat="1">
      <c r="C220" s="638"/>
      <c r="D220" s="283"/>
      <c r="E220" s="283"/>
      <c r="F220" s="283"/>
      <c r="G220" s="283"/>
      <c r="H220" s="283"/>
      <c r="I220" s="283"/>
      <c r="J220" s="283"/>
      <c r="K220" s="283"/>
      <c r="L220" s="283"/>
      <c r="M220" s="283"/>
      <c r="N220" s="283"/>
      <c r="O220" s="283"/>
      <c r="P220" s="283"/>
      <c r="Q220" s="639"/>
    </row>
    <row r="221" spans="3:17" s="182" customFormat="1">
      <c r="C221" s="644">
        <v>15</v>
      </c>
      <c r="D221" s="322">
        <v>2022</v>
      </c>
      <c r="E221" s="322">
        <v>2023</v>
      </c>
      <c r="F221" s="322">
        <v>2024</v>
      </c>
      <c r="G221" s="322">
        <v>2025</v>
      </c>
      <c r="H221" s="322">
        <v>2026</v>
      </c>
      <c r="I221" s="322">
        <v>2027</v>
      </c>
      <c r="J221" s="322">
        <v>2028</v>
      </c>
      <c r="K221" s="322">
        <v>2029</v>
      </c>
      <c r="L221" s="322">
        <v>2030</v>
      </c>
      <c r="M221" s="322">
        <v>2031</v>
      </c>
      <c r="N221" s="322">
        <v>2032</v>
      </c>
      <c r="O221" s="322">
        <v>2033</v>
      </c>
      <c r="P221" s="322">
        <v>2034</v>
      </c>
      <c r="Q221" s="645">
        <v>2035</v>
      </c>
    </row>
    <row r="222" spans="3:17" s="182" customFormat="1" ht="16">
      <c r="C222" s="638" t="s">
        <v>177</v>
      </c>
      <c r="D222" s="291"/>
      <c r="E222" s="291"/>
      <c r="F222" s="291">
        <f>'Deuda a emitir'!F38</f>
        <v>0</v>
      </c>
      <c r="G222" s="291">
        <f>'Deuda a emitir'!G38</f>
        <v>0</v>
      </c>
      <c r="H222" s="291">
        <f>'Deuda a emitir'!H38</f>
        <v>0</v>
      </c>
      <c r="I222" s="291">
        <f>'Deuda a emitir'!I38</f>
        <v>0</v>
      </c>
      <c r="J222" s="291">
        <f>'Deuda a emitir'!J38</f>
        <v>0</v>
      </c>
      <c r="K222" s="291">
        <f>'Deuda a emitir'!K38</f>
        <v>0</v>
      </c>
      <c r="L222" s="291">
        <f>'Deuda a emitir'!L38</f>
        <v>0</v>
      </c>
      <c r="M222" s="291">
        <f>'Deuda a emitir'!M38</f>
        <v>0</v>
      </c>
      <c r="N222" s="291">
        <f>'Deuda a emitir'!N38</f>
        <v>0</v>
      </c>
      <c r="O222" s="291">
        <f>'Deuda a emitir'!O38</f>
        <v>0</v>
      </c>
      <c r="P222" s="291">
        <f>'Deuda a emitir'!P38</f>
        <v>0</v>
      </c>
      <c r="Q222" s="649">
        <f>'Deuda a emitir'!Q38</f>
        <v>0</v>
      </c>
    </row>
    <row r="223" spans="3:17" s="182" customFormat="1" ht="16">
      <c r="C223" s="638" t="s">
        <v>178</v>
      </c>
      <c r="D223" s="291"/>
      <c r="E223" s="291"/>
      <c r="F223" s="291">
        <f>'Deuda a emitir'!F39</f>
        <v>0</v>
      </c>
      <c r="G223" s="291">
        <f>'Deuda a emitir'!G39</f>
        <v>0</v>
      </c>
      <c r="H223" s="291">
        <f>'Deuda a emitir'!H39</f>
        <v>0</v>
      </c>
      <c r="I223" s="291">
        <f>'Deuda a emitir'!I39</f>
        <v>0</v>
      </c>
      <c r="J223" s="291">
        <f>'Deuda a emitir'!J39</f>
        <v>0</v>
      </c>
      <c r="K223" s="291">
        <f>'Deuda a emitir'!K39</f>
        <v>0</v>
      </c>
      <c r="L223" s="291">
        <f>'Deuda a emitir'!L39</f>
        <v>0</v>
      </c>
      <c r="M223" s="291">
        <f>'Deuda a emitir'!M39</f>
        <v>0</v>
      </c>
      <c r="N223" s="291">
        <f>'Deuda a emitir'!N39</f>
        <v>0</v>
      </c>
      <c r="O223" s="291">
        <f>'Deuda a emitir'!O39</f>
        <v>0</v>
      </c>
      <c r="P223" s="291">
        <f>'Deuda a emitir'!P39</f>
        <v>0</v>
      </c>
      <c r="Q223" s="649">
        <f>'Deuda a emitir'!Q39</f>
        <v>0</v>
      </c>
    </row>
    <row r="224" spans="3:17" s="182" customFormat="1" ht="16">
      <c r="C224" s="638" t="s">
        <v>179</v>
      </c>
      <c r="D224" s="326"/>
      <c r="E224" s="326"/>
      <c r="F224" s="326">
        <f>'Deuda a emitir'!F40</f>
        <v>15</v>
      </c>
      <c r="G224" s="326">
        <f>'Deuda a emitir'!G40</f>
        <v>15</v>
      </c>
      <c r="H224" s="326">
        <f>'Deuda a emitir'!H40</f>
        <v>15</v>
      </c>
      <c r="I224" s="326">
        <f>'Deuda a emitir'!I40</f>
        <v>15</v>
      </c>
      <c r="J224" s="326">
        <f>'Deuda a emitir'!J40</f>
        <v>15</v>
      </c>
      <c r="K224" s="326">
        <f>'Deuda a emitir'!K40</f>
        <v>15</v>
      </c>
      <c r="L224" s="326">
        <f>'Deuda a emitir'!L40</f>
        <v>15</v>
      </c>
      <c r="M224" s="326">
        <f>'Deuda a emitir'!M40</f>
        <v>15</v>
      </c>
      <c r="N224" s="326">
        <f>'Deuda a emitir'!N40</f>
        <v>15</v>
      </c>
      <c r="O224" s="326">
        <f>'Deuda a emitir'!O40</f>
        <v>15</v>
      </c>
      <c r="P224" s="326">
        <f>'Deuda a emitir'!P40</f>
        <v>15</v>
      </c>
      <c r="Q224" s="647">
        <f>'Deuda a emitir'!Q40</f>
        <v>15</v>
      </c>
    </row>
    <row r="225" spans="3:17" s="182" customFormat="1" ht="16">
      <c r="C225" s="638" t="s">
        <v>72</v>
      </c>
      <c r="D225" s="326"/>
      <c r="E225" s="326"/>
      <c r="F225" s="326">
        <f t="shared" ref="F225:Q225" si="81">F221+F224</f>
        <v>2039</v>
      </c>
      <c r="G225" s="326">
        <f t="shared" si="81"/>
        <v>2040</v>
      </c>
      <c r="H225" s="326">
        <f t="shared" si="81"/>
        <v>2041</v>
      </c>
      <c r="I225" s="326">
        <f t="shared" si="81"/>
        <v>2042</v>
      </c>
      <c r="J225" s="326">
        <f t="shared" si="81"/>
        <v>2043</v>
      </c>
      <c r="K225" s="326">
        <f t="shared" si="81"/>
        <v>2044</v>
      </c>
      <c r="L225" s="326">
        <f t="shared" si="81"/>
        <v>2045</v>
      </c>
      <c r="M225" s="326">
        <f t="shared" si="81"/>
        <v>2046</v>
      </c>
      <c r="N225" s="326">
        <f t="shared" si="81"/>
        <v>2047</v>
      </c>
      <c r="O225" s="326">
        <f t="shared" si="81"/>
        <v>2048</v>
      </c>
      <c r="P225" s="326">
        <f t="shared" si="81"/>
        <v>2049</v>
      </c>
      <c r="Q225" s="647">
        <f t="shared" si="81"/>
        <v>2050</v>
      </c>
    </row>
    <row r="226" spans="3:17" s="182" customFormat="1" ht="16">
      <c r="C226" s="638" t="s">
        <v>180</v>
      </c>
      <c r="D226" s="271"/>
      <c r="E226" s="271"/>
      <c r="F226" s="271">
        <f>'Deuda a emitir'!F27</f>
        <v>0</v>
      </c>
      <c r="G226" s="271">
        <f>'Deuda a emitir'!G27</f>
        <v>0</v>
      </c>
      <c r="H226" s="271">
        <f>'Deuda a emitir'!H27</f>
        <v>0</v>
      </c>
      <c r="I226" s="271">
        <f>'Deuda a emitir'!I27</f>
        <v>0</v>
      </c>
      <c r="J226" s="271">
        <f>'Deuda a emitir'!J27</f>
        <v>0</v>
      </c>
      <c r="K226" s="271">
        <f>'Deuda a emitir'!K27</f>
        <v>0</v>
      </c>
      <c r="L226" s="271">
        <f>'Deuda a emitir'!L27</f>
        <v>0</v>
      </c>
      <c r="M226" s="271">
        <f>'Deuda a emitir'!M27</f>
        <v>0</v>
      </c>
      <c r="N226" s="271">
        <f>'Deuda a emitir'!N27</f>
        <v>0</v>
      </c>
      <c r="O226" s="271">
        <f>'Deuda a emitir'!O27</f>
        <v>0</v>
      </c>
      <c r="P226" s="271">
        <f>'Deuda a emitir'!P27</f>
        <v>0</v>
      </c>
      <c r="Q226" s="651">
        <f>'Deuda a emitir'!Q27</f>
        <v>0</v>
      </c>
    </row>
    <row r="227" spans="3:17" s="182" customFormat="1" ht="16">
      <c r="C227" s="638" t="s">
        <v>181</v>
      </c>
      <c r="D227" s="313"/>
      <c r="E227" s="313"/>
      <c r="F227" s="313">
        <f t="shared" ref="F227:Q227" si="82">F$164*F226</f>
        <v>0</v>
      </c>
      <c r="G227" s="313" t="e">
        <f t="shared" si="82"/>
        <v>#DIV/0!</v>
      </c>
      <c r="H227" s="313" t="e">
        <f t="shared" si="82"/>
        <v>#DIV/0!</v>
      </c>
      <c r="I227" s="313" t="e">
        <f t="shared" si="82"/>
        <v>#DIV/0!</v>
      </c>
      <c r="J227" s="313" t="e">
        <f t="shared" si="82"/>
        <v>#DIV/0!</v>
      </c>
      <c r="K227" s="313" t="e">
        <f t="shared" si="82"/>
        <v>#DIV/0!</v>
      </c>
      <c r="L227" s="313" t="e">
        <f t="shared" si="82"/>
        <v>#DIV/0!</v>
      </c>
      <c r="M227" s="313" t="e">
        <f t="shared" si="82"/>
        <v>#DIV/0!</v>
      </c>
      <c r="N227" s="313" t="e">
        <f t="shared" si="82"/>
        <v>#DIV/0!</v>
      </c>
      <c r="O227" s="313" t="e">
        <f t="shared" si="82"/>
        <v>#DIV/0!</v>
      </c>
      <c r="P227" s="313" t="e">
        <f t="shared" si="82"/>
        <v>#DIV/0!</v>
      </c>
      <c r="Q227" s="652" t="e">
        <f t="shared" si="82"/>
        <v>#DIV/0!</v>
      </c>
    </row>
    <row r="228" spans="3:17" s="182" customFormat="1" ht="16">
      <c r="C228" s="638" t="s">
        <v>182</v>
      </c>
      <c r="D228" s="313"/>
      <c r="E228" s="313"/>
      <c r="F228" s="313">
        <f t="shared" ref="F228:Q228" si="83">F$165*F226</f>
        <v>0</v>
      </c>
      <c r="G228" s="313">
        <f t="shared" si="83"/>
        <v>0</v>
      </c>
      <c r="H228" s="313">
        <f t="shared" si="83"/>
        <v>0</v>
      </c>
      <c r="I228" s="313">
        <f t="shared" si="83"/>
        <v>0</v>
      </c>
      <c r="J228" s="313">
        <f t="shared" si="83"/>
        <v>0</v>
      </c>
      <c r="K228" s="313">
        <f t="shared" si="83"/>
        <v>0</v>
      </c>
      <c r="L228" s="313">
        <f t="shared" si="83"/>
        <v>0</v>
      </c>
      <c r="M228" s="313">
        <f t="shared" si="83"/>
        <v>0</v>
      </c>
      <c r="N228" s="313">
        <f t="shared" si="83"/>
        <v>0</v>
      </c>
      <c r="O228" s="313">
        <f t="shared" si="83"/>
        <v>0</v>
      </c>
      <c r="P228" s="313">
        <f t="shared" si="83"/>
        <v>0</v>
      </c>
      <c r="Q228" s="652">
        <f t="shared" si="83"/>
        <v>0</v>
      </c>
    </row>
    <row r="229" spans="3:17" s="182" customFormat="1" ht="16">
      <c r="C229" s="640" t="s">
        <v>183</v>
      </c>
      <c r="D229" s="288"/>
      <c r="E229" s="288"/>
      <c r="F229" s="288">
        <f t="shared" ref="F229:P229" si="84">SUM(F227:F228)</f>
        <v>0</v>
      </c>
      <c r="G229" s="288" t="e">
        <f t="shared" si="84"/>
        <v>#DIV/0!</v>
      </c>
      <c r="H229" s="288" t="e">
        <f t="shared" si="84"/>
        <v>#DIV/0!</v>
      </c>
      <c r="I229" s="288" t="e">
        <f t="shared" si="84"/>
        <v>#DIV/0!</v>
      </c>
      <c r="J229" s="288" t="e">
        <f t="shared" si="84"/>
        <v>#DIV/0!</v>
      </c>
      <c r="K229" s="288" t="e">
        <f t="shared" si="84"/>
        <v>#DIV/0!</v>
      </c>
      <c r="L229" s="288" t="e">
        <f t="shared" si="84"/>
        <v>#DIV/0!</v>
      </c>
      <c r="M229" s="288" t="e">
        <f t="shared" si="84"/>
        <v>#DIV/0!</v>
      </c>
      <c r="N229" s="288" t="e">
        <f t="shared" si="84"/>
        <v>#DIV/0!</v>
      </c>
      <c r="O229" s="288" t="e">
        <f t="shared" si="84"/>
        <v>#DIV/0!</v>
      </c>
      <c r="P229" s="288" t="e">
        <f t="shared" si="84"/>
        <v>#DIV/0!</v>
      </c>
      <c r="Q229" s="653" t="e">
        <f t="shared" ref="Q229" si="85">SUM(Q227:Q228)</f>
        <v>#DIV/0!</v>
      </c>
    </row>
    <row r="230" spans="3:17" s="182" customFormat="1">
      <c r="C230" s="638"/>
      <c r="D230" s="313"/>
      <c r="E230" s="313"/>
      <c r="F230" s="313"/>
      <c r="G230" s="313"/>
      <c r="H230" s="313"/>
      <c r="I230" s="313"/>
      <c r="J230" s="313"/>
      <c r="K230" s="313"/>
      <c r="L230" s="313"/>
      <c r="M230" s="313"/>
      <c r="N230" s="313"/>
      <c r="O230" s="313"/>
      <c r="P230" s="313"/>
      <c r="Q230" s="652"/>
    </row>
    <row r="231" spans="3:17" s="182" customFormat="1" ht="16">
      <c r="C231" s="638" t="s">
        <v>184</v>
      </c>
      <c r="D231" s="313"/>
      <c r="E231" s="313"/>
      <c r="F231" s="313">
        <f t="shared" ref="F231:Q231" si="86">NPV(F223,F234:F247,(F248+F229))-F229</f>
        <v>0</v>
      </c>
      <c r="G231" s="313" t="e">
        <f t="shared" si="86"/>
        <v>#DIV/0!</v>
      </c>
      <c r="H231" s="313" t="e">
        <f t="shared" si="86"/>
        <v>#DIV/0!</v>
      </c>
      <c r="I231" s="313" t="e">
        <f t="shared" si="86"/>
        <v>#DIV/0!</v>
      </c>
      <c r="J231" s="313" t="e">
        <f t="shared" si="86"/>
        <v>#DIV/0!</v>
      </c>
      <c r="K231" s="313" t="e">
        <f t="shared" si="86"/>
        <v>#DIV/0!</v>
      </c>
      <c r="L231" s="313" t="e">
        <f t="shared" si="86"/>
        <v>#DIV/0!</v>
      </c>
      <c r="M231" s="313" t="e">
        <f t="shared" si="86"/>
        <v>#DIV/0!</v>
      </c>
      <c r="N231" s="313" t="e">
        <f t="shared" si="86"/>
        <v>#DIV/0!</v>
      </c>
      <c r="O231" s="313" t="e">
        <f t="shared" si="86"/>
        <v>#DIV/0!</v>
      </c>
      <c r="P231" s="313" t="e">
        <f t="shared" si="86"/>
        <v>#DIV/0!</v>
      </c>
      <c r="Q231" s="652" t="e">
        <f t="shared" si="86"/>
        <v>#DIV/0!</v>
      </c>
    </row>
    <row r="232" spans="3:17" s="182" customFormat="1">
      <c r="C232" s="638"/>
      <c r="E232" s="657"/>
      <c r="Q232" s="643"/>
    </row>
    <row r="233" spans="3:17" s="182" customFormat="1">
      <c r="C233" s="638">
        <v>0</v>
      </c>
      <c r="D233" s="283"/>
      <c r="E233" s="283"/>
      <c r="F233" s="283"/>
      <c r="G233" s="283"/>
      <c r="H233" s="283"/>
      <c r="I233" s="283"/>
      <c r="J233" s="283"/>
      <c r="K233" s="283"/>
      <c r="L233" s="283"/>
      <c r="M233" s="283"/>
      <c r="N233" s="283"/>
      <c r="O233" s="283"/>
      <c r="P233" s="283"/>
      <c r="Q233" s="639"/>
    </row>
    <row r="234" spans="3:17" s="182" customFormat="1">
      <c r="C234" s="638">
        <v>1</v>
      </c>
      <c r="D234" s="283"/>
      <c r="E234" s="283"/>
      <c r="F234" s="283">
        <f t="shared" ref="F234:Q248" si="87">F$229*F$222</f>
        <v>0</v>
      </c>
      <c r="G234" s="283" t="e">
        <f t="shared" si="87"/>
        <v>#DIV/0!</v>
      </c>
      <c r="H234" s="283" t="e">
        <f t="shared" si="87"/>
        <v>#DIV/0!</v>
      </c>
      <c r="I234" s="283" t="e">
        <f t="shared" si="87"/>
        <v>#DIV/0!</v>
      </c>
      <c r="J234" s="283" t="e">
        <f t="shared" si="87"/>
        <v>#DIV/0!</v>
      </c>
      <c r="K234" s="283" t="e">
        <f t="shared" si="87"/>
        <v>#DIV/0!</v>
      </c>
      <c r="L234" s="283" t="e">
        <f t="shared" si="87"/>
        <v>#DIV/0!</v>
      </c>
      <c r="M234" s="283" t="e">
        <f t="shared" si="87"/>
        <v>#DIV/0!</v>
      </c>
      <c r="N234" s="283" t="e">
        <f t="shared" si="87"/>
        <v>#DIV/0!</v>
      </c>
      <c r="O234" s="283" t="e">
        <f t="shared" si="87"/>
        <v>#DIV/0!</v>
      </c>
      <c r="P234" s="283" t="e">
        <f t="shared" si="87"/>
        <v>#DIV/0!</v>
      </c>
      <c r="Q234" s="639" t="e">
        <f t="shared" si="87"/>
        <v>#DIV/0!</v>
      </c>
    </row>
    <row r="235" spans="3:17" s="182" customFormat="1">
      <c r="C235" s="638">
        <v>2</v>
      </c>
      <c r="D235" s="283"/>
      <c r="E235" s="283"/>
      <c r="F235" s="283">
        <f t="shared" si="87"/>
        <v>0</v>
      </c>
      <c r="G235" s="283" t="e">
        <f t="shared" si="87"/>
        <v>#DIV/0!</v>
      </c>
      <c r="H235" s="283" t="e">
        <f t="shared" si="87"/>
        <v>#DIV/0!</v>
      </c>
      <c r="I235" s="283" t="e">
        <f t="shared" si="87"/>
        <v>#DIV/0!</v>
      </c>
      <c r="J235" s="283" t="e">
        <f t="shared" si="87"/>
        <v>#DIV/0!</v>
      </c>
      <c r="K235" s="283" t="e">
        <f t="shared" si="87"/>
        <v>#DIV/0!</v>
      </c>
      <c r="L235" s="283" t="e">
        <f t="shared" si="87"/>
        <v>#DIV/0!</v>
      </c>
      <c r="M235" s="283" t="e">
        <f t="shared" si="87"/>
        <v>#DIV/0!</v>
      </c>
      <c r="N235" s="283" t="e">
        <f t="shared" si="87"/>
        <v>#DIV/0!</v>
      </c>
      <c r="O235" s="283" t="e">
        <f t="shared" si="87"/>
        <v>#DIV/0!</v>
      </c>
      <c r="P235" s="283" t="e">
        <f t="shared" si="87"/>
        <v>#DIV/0!</v>
      </c>
      <c r="Q235" s="639" t="e">
        <f t="shared" si="87"/>
        <v>#DIV/0!</v>
      </c>
    </row>
    <row r="236" spans="3:17" s="182" customFormat="1">
      <c r="C236" s="638">
        <v>3</v>
      </c>
      <c r="D236" s="283"/>
      <c r="E236" s="283"/>
      <c r="F236" s="283">
        <f t="shared" si="87"/>
        <v>0</v>
      </c>
      <c r="G236" s="283" t="e">
        <f t="shared" si="87"/>
        <v>#DIV/0!</v>
      </c>
      <c r="H236" s="283" t="e">
        <f t="shared" si="87"/>
        <v>#DIV/0!</v>
      </c>
      <c r="I236" s="283" t="e">
        <f t="shared" si="87"/>
        <v>#DIV/0!</v>
      </c>
      <c r="J236" s="283" t="e">
        <f t="shared" si="87"/>
        <v>#DIV/0!</v>
      </c>
      <c r="K236" s="283" t="e">
        <f t="shared" si="87"/>
        <v>#DIV/0!</v>
      </c>
      <c r="L236" s="283" t="e">
        <f t="shared" si="87"/>
        <v>#DIV/0!</v>
      </c>
      <c r="M236" s="283" t="e">
        <f t="shared" si="87"/>
        <v>#DIV/0!</v>
      </c>
      <c r="N236" s="283" t="e">
        <f t="shared" si="87"/>
        <v>#DIV/0!</v>
      </c>
      <c r="O236" s="283" t="e">
        <f t="shared" si="87"/>
        <v>#DIV/0!</v>
      </c>
      <c r="P236" s="283" t="e">
        <f t="shared" si="87"/>
        <v>#DIV/0!</v>
      </c>
      <c r="Q236" s="639" t="e">
        <f t="shared" si="87"/>
        <v>#DIV/0!</v>
      </c>
    </row>
    <row r="237" spans="3:17" s="182" customFormat="1">
      <c r="C237" s="638">
        <v>4</v>
      </c>
      <c r="D237" s="283"/>
      <c r="E237" s="283"/>
      <c r="F237" s="283">
        <f t="shared" si="87"/>
        <v>0</v>
      </c>
      <c r="G237" s="283" t="e">
        <f t="shared" si="87"/>
        <v>#DIV/0!</v>
      </c>
      <c r="H237" s="283" t="e">
        <f t="shared" si="87"/>
        <v>#DIV/0!</v>
      </c>
      <c r="I237" s="283" t="e">
        <f t="shared" si="87"/>
        <v>#DIV/0!</v>
      </c>
      <c r="J237" s="283" t="e">
        <f t="shared" si="87"/>
        <v>#DIV/0!</v>
      </c>
      <c r="K237" s="283" t="e">
        <f t="shared" si="87"/>
        <v>#DIV/0!</v>
      </c>
      <c r="L237" s="283" t="e">
        <f t="shared" si="87"/>
        <v>#DIV/0!</v>
      </c>
      <c r="M237" s="283" t="e">
        <f t="shared" si="87"/>
        <v>#DIV/0!</v>
      </c>
      <c r="N237" s="283" t="e">
        <f t="shared" si="87"/>
        <v>#DIV/0!</v>
      </c>
      <c r="O237" s="283" t="e">
        <f t="shared" si="87"/>
        <v>#DIV/0!</v>
      </c>
      <c r="P237" s="283" t="e">
        <f t="shared" si="87"/>
        <v>#DIV/0!</v>
      </c>
      <c r="Q237" s="639" t="e">
        <f t="shared" si="87"/>
        <v>#DIV/0!</v>
      </c>
    </row>
    <row r="238" spans="3:17" s="182" customFormat="1">
      <c r="C238" s="638">
        <v>5</v>
      </c>
      <c r="D238" s="283"/>
      <c r="E238" s="283"/>
      <c r="F238" s="283">
        <f t="shared" si="87"/>
        <v>0</v>
      </c>
      <c r="G238" s="283" t="e">
        <f t="shared" si="87"/>
        <v>#DIV/0!</v>
      </c>
      <c r="H238" s="283" t="e">
        <f t="shared" si="87"/>
        <v>#DIV/0!</v>
      </c>
      <c r="I238" s="283" t="e">
        <f t="shared" si="87"/>
        <v>#DIV/0!</v>
      </c>
      <c r="J238" s="283" t="e">
        <f t="shared" si="87"/>
        <v>#DIV/0!</v>
      </c>
      <c r="K238" s="283" t="e">
        <f t="shared" si="87"/>
        <v>#DIV/0!</v>
      </c>
      <c r="L238" s="283" t="e">
        <f t="shared" si="87"/>
        <v>#DIV/0!</v>
      </c>
      <c r="M238" s="283" t="e">
        <f t="shared" si="87"/>
        <v>#DIV/0!</v>
      </c>
      <c r="N238" s="283" t="e">
        <f t="shared" si="87"/>
        <v>#DIV/0!</v>
      </c>
      <c r="O238" s="283" t="e">
        <f t="shared" si="87"/>
        <v>#DIV/0!</v>
      </c>
      <c r="P238" s="283" t="e">
        <f t="shared" si="87"/>
        <v>#DIV/0!</v>
      </c>
      <c r="Q238" s="639" t="e">
        <f t="shared" si="87"/>
        <v>#DIV/0!</v>
      </c>
    </row>
    <row r="239" spans="3:17" s="182" customFormat="1">
      <c r="C239" s="638">
        <v>6</v>
      </c>
      <c r="D239" s="283"/>
      <c r="E239" s="283"/>
      <c r="F239" s="283">
        <f t="shared" si="87"/>
        <v>0</v>
      </c>
      <c r="G239" s="283" t="e">
        <f t="shared" si="87"/>
        <v>#DIV/0!</v>
      </c>
      <c r="H239" s="283" t="e">
        <f t="shared" si="87"/>
        <v>#DIV/0!</v>
      </c>
      <c r="I239" s="283" t="e">
        <f t="shared" si="87"/>
        <v>#DIV/0!</v>
      </c>
      <c r="J239" s="283" t="e">
        <f t="shared" si="87"/>
        <v>#DIV/0!</v>
      </c>
      <c r="K239" s="283" t="e">
        <f t="shared" si="87"/>
        <v>#DIV/0!</v>
      </c>
      <c r="L239" s="283" t="e">
        <f t="shared" si="87"/>
        <v>#DIV/0!</v>
      </c>
      <c r="M239" s="283" t="e">
        <f t="shared" si="87"/>
        <v>#DIV/0!</v>
      </c>
      <c r="N239" s="283" t="e">
        <f t="shared" si="87"/>
        <v>#DIV/0!</v>
      </c>
      <c r="O239" s="283" t="e">
        <f t="shared" si="87"/>
        <v>#DIV/0!</v>
      </c>
      <c r="P239" s="283" t="e">
        <f t="shared" si="87"/>
        <v>#DIV/0!</v>
      </c>
      <c r="Q239" s="639" t="e">
        <f t="shared" si="87"/>
        <v>#DIV/0!</v>
      </c>
    </row>
    <row r="240" spans="3:17" s="182" customFormat="1">
      <c r="C240" s="638">
        <v>7</v>
      </c>
      <c r="D240" s="283"/>
      <c r="E240" s="283"/>
      <c r="F240" s="283">
        <f t="shared" si="87"/>
        <v>0</v>
      </c>
      <c r="G240" s="283" t="e">
        <f t="shared" si="87"/>
        <v>#DIV/0!</v>
      </c>
      <c r="H240" s="283" t="e">
        <f t="shared" si="87"/>
        <v>#DIV/0!</v>
      </c>
      <c r="I240" s="283" t="e">
        <f t="shared" si="87"/>
        <v>#DIV/0!</v>
      </c>
      <c r="J240" s="283" t="e">
        <f t="shared" si="87"/>
        <v>#DIV/0!</v>
      </c>
      <c r="K240" s="283" t="e">
        <f t="shared" si="87"/>
        <v>#DIV/0!</v>
      </c>
      <c r="L240" s="283" t="e">
        <f t="shared" si="87"/>
        <v>#DIV/0!</v>
      </c>
      <c r="M240" s="283" t="e">
        <f t="shared" si="87"/>
        <v>#DIV/0!</v>
      </c>
      <c r="N240" s="283" t="e">
        <f t="shared" si="87"/>
        <v>#DIV/0!</v>
      </c>
      <c r="O240" s="283" t="e">
        <f t="shared" si="87"/>
        <v>#DIV/0!</v>
      </c>
      <c r="P240" s="283" t="e">
        <f t="shared" si="87"/>
        <v>#DIV/0!</v>
      </c>
      <c r="Q240" s="639" t="e">
        <f t="shared" si="87"/>
        <v>#DIV/0!</v>
      </c>
    </row>
    <row r="241" spans="3:17" s="182" customFormat="1">
      <c r="C241" s="638">
        <v>8</v>
      </c>
      <c r="D241" s="283"/>
      <c r="E241" s="283"/>
      <c r="F241" s="283">
        <f t="shared" si="87"/>
        <v>0</v>
      </c>
      <c r="G241" s="283" t="e">
        <f t="shared" si="87"/>
        <v>#DIV/0!</v>
      </c>
      <c r="H241" s="283" t="e">
        <f t="shared" si="87"/>
        <v>#DIV/0!</v>
      </c>
      <c r="I241" s="283" t="e">
        <f t="shared" si="87"/>
        <v>#DIV/0!</v>
      </c>
      <c r="J241" s="283" t="e">
        <f t="shared" si="87"/>
        <v>#DIV/0!</v>
      </c>
      <c r="K241" s="283" t="e">
        <f t="shared" si="87"/>
        <v>#DIV/0!</v>
      </c>
      <c r="L241" s="283" t="e">
        <f t="shared" si="87"/>
        <v>#DIV/0!</v>
      </c>
      <c r="M241" s="283" t="e">
        <f t="shared" si="87"/>
        <v>#DIV/0!</v>
      </c>
      <c r="N241" s="283" t="e">
        <f t="shared" si="87"/>
        <v>#DIV/0!</v>
      </c>
      <c r="O241" s="283" t="e">
        <f t="shared" si="87"/>
        <v>#DIV/0!</v>
      </c>
      <c r="P241" s="283" t="e">
        <f t="shared" si="87"/>
        <v>#DIV/0!</v>
      </c>
      <c r="Q241" s="639" t="e">
        <f t="shared" si="87"/>
        <v>#DIV/0!</v>
      </c>
    </row>
    <row r="242" spans="3:17" s="182" customFormat="1">
      <c r="C242" s="638">
        <v>9</v>
      </c>
      <c r="D242" s="283"/>
      <c r="E242" s="283"/>
      <c r="F242" s="283">
        <f t="shared" si="87"/>
        <v>0</v>
      </c>
      <c r="G242" s="283" t="e">
        <f t="shared" si="87"/>
        <v>#DIV/0!</v>
      </c>
      <c r="H242" s="283" t="e">
        <f t="shared" si="87"/>
        <v>#DIV/0!</v>
      </c>
      <c r="I242" s="283" t="e">
        <f t="shared" si="87"/>
        <v>#DIV/0!</v>
      </c>
      <c r="J242" s="283" t="e">
        <f t="shared" si="87"/>
        <v>#DIV/0!</v>
      </c>
      <c r="K242" s="283" t="e">
        <f t="shared" si="87"/>
        <v>#DIV/0!</v>
      </c>
      <c r="L242" s="283" t="e">
        <f t="shared" si="87"/>
        <v>#DIV/0!</v>
      </c>
      <c r="M242" s="283" t="e">
        <f t="shared" si="87"/>
        <v>#DIV/0!</v>
      </c>
      <c r="N242" s="283" t="e">
        <f t="shared" si="87"/>
        <v>#DIV/0!</v>
      </c>
      <c r="O242" s="283" t="e">
        <f t="shared" si="87"/>
        <v>#DIV/0!</v>
      </c>
      <c r="P242" s="283" t="e">
        <f t="shared" si="87"/>
        <v>#DIV/0!</v>
      </c>
      <c r="Q242" s="639" t="e">
        <f t="shared" si="87"/>
        <v>#DIV/0!</v>
      </c>
    </row>
    <row r="243" spans="3:17" s="182" customFormat="1">
      <c r="C243" s="638">
        <v>10</v>
      </c>
      <c r="D243" s="283"/>
      <c r="E243" s="283"/>
      <c r="F243" s="283">
        <f t="shared" si="87"/>
        <v>0</v>
      </c>
      <c r="G243" s="283" t="e">
        <f t="shared" si="87"/>
        <v>#DIV/0!</v>
      </c>
      <c r="H243" s="283" t="e">
        <f t="shared" si="87"/>
        <v>#DIV/0!</v>
      </c>
      <c r="I243" s="283" t="e">
        <f t="shared" si="87"/>
        <v>#DIV/0!</v>
      </c>
      <c r="J243" s="283" t="e">
        <f t="shared" si="87"/>
        <v>#DIV/0!</v>
      </c>
      <c r="K243" s="283" t="e">
        <f t="shared" si="87"/>
        <v>#DIV/0!</v>
      </c>
      <c r="L243" s="283" t="e">
        <f t="shared" si="87"/>
        <v>#DIV/0!</v>
      </c>
      <c r="M243" s="283" t="e">
        <f t="shared" si="87"/>
        <v>#DIV/0!</v>
      </c>
      <c r="N243" s="283" t="e">
        <f t="shared" si="87"/>
        <v>#DIV/0!</v>
      </c>
      <c r="O243" s="283" t="e">
        <f t="shared" si="87"/>
        <v>#DIV/0!</v>
      </c>
      <c r="P243" s="283" t="e">
        <f t="shared" si="87"/>
        <v>#DIV/0!</v>
      </c>
      <c r="Q243" s="639" t="e">
        <f t="shared" si="87"/>
        <v>#DIV/0!</v>
      </c>
    </row>
    <row r="244" spans="3:17" s="182" customFormat="1">
      <c r="C244" s="638">
        <v>11</v>
      </c>
      <c r="D244" s="283"/>
      <c r="E244" s="283"/>
      <c r="F244" s="283">
        <f t="shared" si="87"/>
        <v>0</v>
      </c>
      <c r="G244" s="283" t="e">
        <f t="shared" si="87"/>
        <v>#DIV/0!</v>
      </c>
      <c r="H244" s="283" t="e">
        <f t="shared" si="87"/>
        <v>#DIV/0!</v>
      </c>
      <c r="I244" s="283" t="e">
        <f t="shared" si="87"/>
        <v>#DIV/0!</v>
      </c>
      <c r="J244" s="283" t="e">
        <f t="shared" si="87"/>
        <v>#DIV/0!</v>
      </c>
      <c r="K244" s="283" t="e">
        <f t="shared" si="87"/>
        <v>#DIV/0!</v>
      </c>
      <c r="L244" s="283" t="e">
        <f t="shared" si="87"/>
        <v>#DIV/0!</v>
      </c>
      <c r="M244" s="283" t="e">
        <f t="shared" si="87"/>
        <v>#DIV/0!</v>
      </c>
      <c r="N244" s="283" t="e">
        <f t="shared" si="87"/>
        <v>#DIV/0!</v>
      </c>
      <c r="O244" s="283" t="e">
        <f t="shared" si="87"/>
        <v>#DIV/0!</v>
      </c>
      <c r="P244" s="283" t="e">
        <f t="shared" si="87"/>
        <v>#DIV/0!</v>
      </c>
      <c r="Q244" s="639" t="e">
        <f t="shared" si="87"/>
        <v>#DIV/0!</v>
      </c>
    </row>
    <row r="245" spans="3:17" s="182" customFormat="1">
      <c r="C245" s="638">
        <v>12</v>
      </c>
      <c r="D245" s="283"/>
      <c r="E245" s="283"/>
      <c r="F245" s="283">
        <f t="shared" si="87"/>
        <v>0</v>
      </c>
      <c r="G245" s="283" t="e">
        <f t="shared" si="87"/>
        <v>#DIV/0!</v>
      </c>
      <c r="H245" s="283" t="e">
        <f t="shared" si="87"/>
        <v>#DIV/0!</v>
      </c>
      <c r="I245" s="283" t="e">
        <f t="shared" si="87"/>
        <v>#DIV/0!</v>
      </c>
      <c r="J245" s="283" t="e">
        <f t="shared" si="87"/>
        <v>#DIV/0!</v>
      </c>
      <c r="K245" s="283" t="e">
        <f t="shared" si="87"/>
        <v>#DIV/0!</v>
      </c>
      <c r="L245" s="283" t="e">
        <f t="shared" si="87"/>
        <v>#DIV/0!</v>
      </c>
      <c r="M245" s="283" t="e">
        <f t="shared" si="87"/>
        <v>#DIV/0!</v>
      </c>
      <c r="N245" s="283" t="e">
        <f t="shared" si="87"/>
        <v>#DIV/0!</v>
      </c>
      <c r="O245" s="283" t="e">
        <f t="shared" si="87"/>
        <v>#DIV/0!</v>
      </c>
      <c r="P245" s="283" t="e">
        <f t="shared" si="87"/>
        <v>#DIV/0!</v>
      </c>
      <c r="Q245" s="639" t="e">
        <f t="shared" si="87"/>
        <v>#DIV/0!</v>
      </c>
    </row>
    <row r="246" spans="3:17" s="182" customFormat="1">
      <c r="C246" s="638">
        <v>13</v>
      </c>
      <c r="D246" s="283"/>
      <c r="E246" s="283"/>
      <c r="F246" s="283">
        <f t="shared" si="87"/>
        <v>0</v>
      </c>
      <c r="G246" s="283" t="e">
        <f t="shared" si="87"/>
        <v>#DIV/0!</v>
      </c>
      <c r="H246" s="283" t="e">
        <f t="shared" si="87"/>
        <v>#DIV/0!</v>
      </c>
      <c r="I246" s="283" t="e">
        <f t="shared" si="87"/>
        <v>#DIV/0!</v>
      </c>
      <c r="J246" s="283" t="e">
        <f t="shared" si="87"/>
        <v>#DIV/0!</v>
      </c>
      <c r="K246" s="283" t="e">
        <f t="shared" si="87"/>
        <v>#DIV/0!</v>
      </c>
      <c r="L246" s="283" t="e">
        <f t="shared" si="87"/>
        <v>#DIV/0!</v>
      </c>
      <c r="M246" s="283" t="e">
        <f t="shared" si="87"/>
        <v>#DIV/0!</v>
      </c>
      <c r="N246" s="283" t="e">
        <f t="shared" si="87"/>
        <v>#DIV/0!</v>
      </c>
      <c r="O246" s="283" t="e">
        <f t="shared" si="87"/>
        <v>#DIV/0!</v>
      </c>
      <c r="P246" s="283" t="e">
        <f t="shared" si="87"/>
        <v>#DIV/0!</v>
      </c>
      <c r="Q246" s="639" t="e">
        <f t="shared" si="87"/>
        <v>#DIV/0!</v>
      </c>
    </row>
    <row r="247" spans="3:17" s="182" customFormat="1">
      <c r="C247" s="638">
        <v>14</v>
      </c>
      <c r="D247" s="283"/>
      <c r="E247" s="283"/>
      <c r="F247" s="283">
        <f t="shared" si="87"/>
        <v>0</v>
      </c>
      <c r="G247" s="283" t="e">
        <f t="shared" si="87"/>
        <v>#DIV/0!</v>
      </c>
      <c r="H247" s="283" t="e">
        <f t="shared" si="87"/>
        <v>#DIV/0!</v>
      </c>
      <c r="I247" s="283" t="e">
        <f t="shared" si="87"/>
        <v>#DIV/0!</v>
      </c>
      <c r="J247" s="283" t="e">
        <f t="shared" si="87"/>
        <v>#DIV/0!</v>
      </c>
      <c r="K247" s="283" t="e">
        <f t="shared" si="87"/>
        <v>#DIV/0!</v>
      </c>
      <c r="L247" s="283" t="e">
        <f t="shared" si="87"/>
        <v>#DIV/0!</v>
      </c>
      <c r="M247" s="283" t="e">
        <f t="shared" si="87"/>
        <v>#DIV/0!</v>
      </c>
      <c r="N247" s="283" t="e">
        <f t="shared" si="87"/>
        <v>#DIV/0!</v>
      </c>
      <c r="O247" s="283" t="e">
        <f t="shared" si="87"/>
        <v>#DIV/0!</v>
      </c>
      <c r="P247" s="283" t="e">
        <f t="shared" si="87"/>
        <v>#DIV/0!</v>
      </c>
      <c r="Q247" s="639" t="e">
        <f t="shared" si="87"/>
        <v>#DIV/0!</v>
      </c>
    </row>
    <row r="248" spans="3:17" s="182" customFormat="1">
      <c r="C248" s="638">
        <v>15</v>
      </c>
      <c r="D248" s="283"/>
      <c r="E248" s="283"/>
      <c r="F248" s="283">
        <f t="shared" si="87"/>
        <v>0</v>
      </c>
      <c r="G248" s="283" t="e">
        <f t="shared" si="87"/>
        <v>#DIV/0!</v>
      </c>
      <c r="H248" s="283" t="e">
        <f t="shared" si="87"/>
        <v>#DIV/0!</v>
      </c>
      <c r="I248" s="283" t="e">
        <f t="shared" si="87"/>
        <v>#DIV/0!</v>
      </c>
      <c r="J248" s="283" t="e">
        <f t="shared" si="87"/>
        <v>#DIV/0!</v>
      </c>
      <c r="K248" s="283" t="e">
        <f t="shared" si="87"/>
        <v>#DIV/0!</v>
      </c>
      <c r="L248" s="283" t="e">
        <f t="shared" si="87"/>
        <v>#DIV/0!</v>
      </c>
      <c r="M248" s="283" t="e">
        <f t="shared" si="87"/>
        <v>#DIV/0!</v>
      </c>
      <c r="N248" s="283" t="e">
        <f t="shared" si="87"/>
        <v>#DIV/0!</v>
      </c>
      <c r="O248" s="283" t="e">
        <f t="shared" si="87"/>
        <v>#DIV/0!</v>
      </c>
      <c r="P248" s="283" t="e">
        <f t="shared" si="87"/>
        <v>#DIV/0!</v>
      </c>
      <c r="Q248" s="639" t="e">
        <f t="shared" si="87"/>
        <v>#DIV/0!</v>
      </c>
    </row>
    <row r="249" spans="3:17" s="182" customFormat="1">
      <c r="C249" s="638"/>
      <c r="Q249" s="643"/>
    </row>
    <row r="250" spans="3:17" s="182" customFormat="1" ht="16">
      <c r="C250" s="638" t="s">
        <v>173</v>
      </c>
      <c r="D250" s="283"/>
      <c r="E250" s="283"/>
      <c r="F250" s="283">
        <f>E234+D235</f>
        <v>0</v>
      </c>
      <c r="G250" s="283">
        <f>F234+E235+D236</f>
        <v>0</v>
      </c>
      <c r="H250" s="283" t="e">
        <f>G234+F235+E236+D237</f>
        <v>#DIV/0!</v>
      </c>
      <c r="I250" s="283" t="e">
        <f>H234+G235+F236+E237+D238</f>
        <v>#DIV/0!</v>
      </c>
      <c r="J250" s="283" t="e">
        <f>I234+H235+G236+F237+E238+D239</f>
        <v>#DIV/0!</v>
      </c>
      <c r="K250" s="283" t="e">
        <f>J234+I235+H236+G237+F238+E239+D240</f>
        <v>#DIV/0!</v>
      </c>
      <c r="L250" s="283" t="e">
        <f>K234+J235+I236+H237+G238+F239+E240+D241</f>
        <v>#DIV/0!</v>
      </c>
      <c r="M250" s="283" t="e">
        <f>L234+K235+J236+I237+H238+G239+F240+E241+D242</f>
        <v>#DIV/0!</v>
      </c>
      <c r="N250" s="283" t="e">
        <f>M234+L235+K236+J237+I238+H239+G240+F241+E242+D243</f>
        <v>#DIV/0!</v>
      </c>
      <c r="O250" s="283" t="e">
        <f>N234+M235+L236+K237+J238+I239+H240+G241+F242+E243+D244</f>
        <v>#DIV/0!</v>
      </c>
      <c r="P250" s="283" t="e">
        <f>O234+N235+M236+L237+K238+J239+I240+H241+G242+F243+E244</f>
        <v>#DIV/0!</v>
      </c>
      <c r="Q250" s="639" t="e">
        <f>P234+O235+N236+M237+L238+K239+J240+I241+H242+G243+F244</f>
        <v>#DIV/0!</v>
      </c>
    </row>
    <row r="251" spans="3:17" s="182" customFormat="1" ht="16">
      <c r="C251" s="638" t="s">
        <v>174</v>
      </c>
      <c r="D251" s="283"/>
      <c r="E251" s="283"/>
      <c r="F251" s="283">
        <f t="shared" ref="F251:Q251" si="88">F233</f>
        <v>0</v>
      </c>
      <c r="G251" s="283">
        <f t="shared" si="88"/>
        <v>0</v>
      </c>
      <c r="H251" s="283">
        <f t="shared" si="88"/>
        <v>0</v>
      </c>
      <c r="I251" s="283">
        <f t="shared" si="88"/>
        <v>0</v>
      </c>
      <c r="J251" s="283">
        <f t="shared" si="88"/>
        <v>0</v>
      </c>
      <c r="K251" s="283">
        <f t="shared" si="88"/>
        <v>0</v>
      </c>
      <c r="L251" s="283">
        <f t="shared" si="88"/>
        <v>0</v>
      </c>
      <c r="M251" s="283">
        <f t="shared" si="88"/>
        <v>0</v>
      </c>
      <c r="N251" s="283">
        <f t="shared" si="88"/>
        <v>0</v>
      </c>
      <c r="O251" s="283">
        <f t="shared" si="88"/>
        <v>0</v>
      </c>
      <c r="P251" s="283">
        <f t="shared" si="88"/>
        <v>0</v>
      </c>
      <c r="Q251" s="639">
        <f t="shared" si="88"/>
        <v>0</v>
      </c>
    </row>
    <row r="252" spans="3:17" s="182" customFormat="1">
      <c r="C252" s="638"/>
      <c r="D252" s="283"/>
      <c r="E252" s="283"/>
      <c r="F252" s="283"/>
      <c r="G252" s="283"/>
      <c r="H252" s="283"/>
      <c r="I252" s="283"/>
      <c r="J252" s="283"/>
      <c r="K252" s="283"/>
      <c r="L252" s="283"/>
      <c r="M252" s="283"/>
      <c r="N252" s="283"/>
      <c r="O252" s="283"/>
      <c r="P252" s="283"/>
      <c r="Q252" s="639"/>
    </row>
    <row r="253" spans="3:17" s="182" customFormat="1">
      <c r="C253" s="638"/>
      <c r="D253" s="283"/>
      <c r="E253" s="291"/>
      <c r="F253" s="291"/>
      <c r="G253" s="291"/>
      <c r="H253" s="291"/>
      <c r="I253" s="291"/>
      <c r="J253" s="291"/>
      <c r="K253" s="291"/>
      <c r="L253" s="291"/>
      <c r="M253" s="291"/>
      <c r="N253" s="291"/>
      <c r="O253" s="291"/>
      <c r="P253" s="291"/>
      <c r="Q253" s="649"/>
    </row>
    <row r="254" spans="3:17" s="182" customFormat="1">
      <c r="C254" s="644">
        <v>30</v>
      </c>
      <c r="D254" s="322">
        <v>2022</v>
      </c>
      <c r="E254" s="322">
        <v>2023</v>
      </c>
      <c r="F254" s="322">
        <v>2024</v>
      </c>
      <c r="G254" s="322">
        <v>2025</v>
      </c>
      <c r="H254" s="322">
        <v>2026</v>
      </c>
      <c r="I254" s="322">
        <v>2027</v>
      </c>
      <c r="J254" s="322">
        <v>2028</v>
      </c>
      <c r="K254" s="322">
        <v>2029</v>
      </c>
      <c r="L254" s="322">
        <v>2030</v>
      </c>
      <c r="M254" s="322">
        <v>2031</v>
      </c>
      <c r="N254" s="322">
        <v>2032</v>
      </c>
      <c r="O254" s="322">
        <v>2033</v>
      </c>
      <c r="P254" s="322">
        <v>2033</v>
      </c>
      <c r="Q254" s="645">
        <v>2033</v>
      </c>
    </row>
    <row r="255" spans="3:17" s="182" customFormat="1" ht="16">
      <c r="C255" s="638" t="s">
        <v>177</v>
      </c>
      <c r="D255" s="291"/>
      <c r="E255" s="291"/>
      <c r="F255" s="291">
        <f>'Deuda a emitir'!F42</f>
        <v>0</v>
      </c>
      <c r="G255" s="291">
        <f>'Deuda a emitir'!G42</f>
        <v>0</v>
      </c>
      <c r="H255" s="291">
        <f>'Deuda a emitir'!H42</f>
        <v>0</v>
      </c>
      <c r="I255" s="291">
        <f>'Deuda a emitir'!I42</f>
        <v>0</v>
      </c>
      <c r="J255" s="291">
        <f>'Deuda a emitir'!J42</f>
        <v>0</v>
      </c>
      <c r="K255" s="291">
        <f>'Deuda a emitir'!K42</f>
        <v>0</v>
      </c>
      <c r="L255" s="291">
        <f>'Deuda a emitir'!L42</f>
        <v>0</v>
      </c>
      <c r="M255" s="291">
        <f>'Deuda a emitir'!M42</f>
        <v>0</v>
      </c>
      <c r="N255" s="291">
        <f>'Deuda a emitir'!N42</f>
        <v>0</v>
      </c>
      <c r="O255" s="291">
        <f>'Deuda a emitir'!O42</f>
        <v>0</v>
      </c>
      <c r="P255" s="291">
        <f>'Deuda a emitir'!P42</f>
        <v>0</v>
      </c>
      <c r="Q255" s="649">
        <f>'Deuda a emitir'!Q42</f>
        <v>0</v>
      </c>
    </row>
    <row r="256" spans="3:17" s="182" customFormat="1" ht="16">
      <c r="C256" s="638" t="s">
        <v>178</v>
      </c>
      <c r="D256" s="271"/>
      <c r="E256" s="271"/>
      <c r="F256" s="271">
        <f>'Deuda a emitir'!F43</f>
        <v>0</v>
      </c>
      <c r="G256" s="271">
        <f>'Deuda a emitir'!G43</f>
        <v>0</v>
      </c>
      <c r="H256" s="271">
        <f>'Deuda a emitir'!H43</f>
        <v>0</v>
      </c>
      <c r="I256" s="271">
        <f>'Deuda a emitir'!I43</f>
        <v>0</v>
      </c>
      <c r="J256" s="271">
        <f>'Deuda a emitir'!J43</f>
        <v>0</v>
      </c>
      <c r="K256" s="271">
        <f>'Deuda a emitir'!K43</f>
        <v>0</v>
      </c>
      <c r="L256" s="271">
        <f>'Deuda a emitir'!L43</f>
        <v>0</v>
      </c>
      <c r="M256" s="271">
        <f>'Deuda a emitir'!M43</f>
        <v>0</v>
      </c>
      <c r="N256" s="271">
        <f>'Deuda a emitir'!N43</f>
        <v>0</v>
      </c>
      <c r="O256" s="271">
        <f>'Deuda a emitir'!O43</f>
        <v>0</v>
      </c>
      <c r="P256" s="271">
        <f>'Deuda a emitir'!P43</f>
        <v>0</v>
      </c>
      <c r="Q256" s="651">
        <f>'Deuda a emitir'!Q43</f>
        <v>0</v>
      </c>
    </row>
    <row r="257" spans="3:17" s="182" customFormat="1" ht="16">
      <c r="C257" s="638" t="s">
        <v>179</v>
      </c>
      <c r="D257" s="326"/>
      <c r="E257" s="326"/>
      <c r="F257" s="326">
        <f>'Deuda a emitir'!F44</f>
        <v>30</v>
      </c>
      <c r="G257" s="326">
        <f>'Deuda a emitir'!G44</f>
        <v>30</v>
      </c>
      <c r="H257" s="326">
        <f>'Deuda a emitir'!H44</f>
        <v>30</v>
      </c>
      <c r="I257" s="326">
        <f>'Deuda a emitir'!I44</f>
        <v>30</v>
      </c>
      <c r="J257" s="326">
        <f>'Deuda a emitir'!J44</f>
        <v>30</v>
      </c>
      <c r="K257" s="326">
        <f>'Deuda a emitir'!K44</f>
        <v>30</v>
      </c>
      <c r="L257" s="326">
        <f>'Deuda a emitir'!L44</f>
        <v>30</v>
      </c>
      <c r="M257" s="326">
        <f>'Deuda a emitir'!M44</f>
        <v>30</v>
      </c>
      <c r="N257" s="326">
        <f>'Deuda a emitir'!N44</f>
        <v>30</v>
      </c>
      <c r="O257" s="326">
        <f>'Deuda a emitir'!O44</f>
        <v>30</v>
      </c>
      <c r="P257" s="326">
        <f>'Deuda a emitir'!P44</f>
        <v>30</v>
      </c>
      <c r="Q257" s="647">
        <f>'Deuda a emitir'!Q44</f>
        <v>30</v>
      </c>
    </row>
    <row r="258" spans="3:17" s="182" customFormat="1" ht="16">
      <c r="C258" s="638" t="s">
        <v>72</v>
      </c>
      <c r="D258" s="326"/>
      <c r="E258" s="326"/>
      <c r="F258" s="326">
        <f t="shared" ref="F258:Q258" si="89">F254+F257</f>
        <v>2054</v>
      </c>
      <c r="G258" s="326">
        <f t="shared" si="89"/>
        <v>2055</v>
      </c>
      <c r="H258" s="326">
        <f t="shared" si="89"/>
        <v>2056</v>
      </c>
      <c r="I258" s="326">
        <f t="shared" si="89"/>
        <v>2057</v>
      </c>
      <c r="J258" s="326">
        <f t="shared" si="89"/>
        <v>2058</v>
      </c>
      <c r="K258" s="326">
        <f t="shared" si="89"/>
        <v>2059</v>
      </c>
      <c r="L258" s="326">
        <f t="shared" si="89"/>
        <v>2060</v>
      </c>
      <c r="M258" s="326">
        <f t="shared" si="89"/>
        <v>2061</v>
      </c>
      <c r="N258" s="326">
        <f t="shared" si="89"/>
        <v>2062</v>
      </c>
      <c r="O258" s="326">
        <f t="shared" si="89"/>
        <v>2063</v>
      </c>
      <c r="P258" s="326">
        <f t="shared" si="89"/>
        <v>2063</v>
      </c>
      <c r="Q258" s="647">
        <f t="shared" si="89"/>
        <v>2063</v>
      </c>
    </row>
    <row r="259" spans="3:17" s="182" customFormat="1" ht="16">
      <c r="C259" s="638" t="s">
        <v>180</v>
      </c>
      <c r="D259" s="271"/>
      <c r="E259" s="271"/>
      <c r="F259" s="271">
        <f>'Deuda a emitir'!F28</f>
        <v>0</v>
      </c>
      <c r="G259" s="271">
        <f>'Deuda a emitir'!G28</f>
        <v>0</v>
      </c>
      <c r="H259" s="271">
        <f>'Deuda a emitir'!H28</f>
        <v>0</v>
      </c>
      <c r="I259" s="271">
        <f>'Deuda a emitir'!I28</f>
        <v>0</v>
      </c>
      <c r="J259" s="271">
        <f>'Deuda a emitir'!J28</f>
        <v>0</v>
      </c>
      <c r="K259" s="271">
        <f>'Deuda a emitir'!K28</f>
        <v>0</v>
      </c>
      <c r="L259" s="271">
        <f>'Deuda a emitir'!L28</f>
        <v>0</v>
      </c>
      <c r="M259" s="271">
        <f>'Deuda a emitir'!M28</f>
        <v>0</v>
      </c>
      <c r="N259" s="271">
        <f>'Deuda a emitir'!N28</f>
        <v>0</v>
      </c>
      <c r="O259" s="271">
        <f>'Deuda a emitir'!O28</f>
        <v>0</v>
      </c>
      <c r="P259" s="271">
        <f>'Deuda a emitir'!P28</f>
        <v>0</v>
      </c>
      <c r="Q259" s="651">
        <f>'Deuda a emitir'!Q28</f>
        <v>0</v>
      </c>
    </row>
    <row r="260" spans="3:17" s="182" customFormat="1" ht="16">
      <c r="C260" s="638" t="s">
        <v>181</v>
      </c>
      <c r="D260" s="313"/>
      <c r="E260" s="313"/>
      <c r="F260" s="313">
        <f t="shared" ref="F260:Q260" si="90">F$164*F259</f>
        <v>0</v>
      </c>
      <c r="G260" s="313" t="e">
        <f t="shared" si="90"/>
        <v>#DIV/0!</v>
      </c>
      <c r="H260" s="313" t="e">
        <f t="shared" si="90"/>
        <v>#DIV/0!</v>
      </c>
      <c r="I260" s="313" t="e">
        <f t="shared" si="90"/>
        <v>#DIV/0!</v>
      </c>
      <c r="J260" s="313" t="e">
        <f t="shared" si="90"/>
        <v>#DIV/0!</v>
      </c>
      <c r="K260" s="313" t="e">
        <f t="shared" si="90"/>
        <v>#DIV/0!</v>
      </c>
      <c r="L260" s="313" t="e">
        <f t="shared" si="90"/>
        <v>#DIV/0!</v>
      </c>
      <c r="M260" s="313" t="e">
        <f t="shared" si="90"/>
        <v>#DIV/0!</v>
      </c>
      <c r="N260" s="313" t="e">
        <f t="shared" si="90"/>
        <v>#DIV/0!</v>
      </c>
      <c r="O260" s="313" t="e">
        <f t="shared" si="90"/>
        <v>#DIV/0!</v>
      </c>
      <c r="P260" s="313" t="e">
        <f t="shared" si="90"/>
        <v>#DIV/0!</v>
      </c>
      <c r="Q260" s="652" t="e">
        <f t="shared" si="90"/>
        <v>#DIV/0!</v>
      </c>
    </row>
    <row r="261" spans="3:17" s="182" customFormat="1" ht="16">
      <c r="C261" s="638" t="s">
        <v>182</v>
      </c>
      <c r="D261" s="313"/>
      <c r="E261" s="313"/>
      <c r="F261" s="313">
        <f t="shared" ref="F261:Q261" si="91">F$165*F259</f>
        <v>0</v>
      </c>
      <c r="G261" s="313">
        <f t="shared" si="91"/>
        <v>0</v>
      </c>
      <c r="H261" s="313">
        <f t="shared" si="91"/>
        <v>0</v>
      </c>
      <c r="I261" s="313">
        <f t="shared" si="91"/>
        <v>0</v>
      </c>
      <c r="J261" s="313">
        <f t="shared" si="91"/>
        <v>0</v>
      </c>
      <c r="K261" s="313">
        <f t="shared" si="91"/>
        <v>0</v>
      </c>
      <c r="L261" s="313">
        <f t="shared" si="91"/>
        <v>0</v>
      </c>
      <c r="M261" s="313">
        <f t="shared" si="91"/>
        <v>0</v>
      </c>
      <c r="N261" s="313">
        <f t="shared" si="91"/>
        <v>0</v>
      </c>
      <c r="O261" s="313">
        <f t="shared" si="91"/>
        <v>0</v>
      </c>
      <c r="P261" s="313">
        <f t="shared" si="91"/>
        <v>0</v>
      </c>
      <c r="Q261" s="652">
        <f t="shared" si="91"/>
        <v>0</v>
      </c>
    </row>
    <row r="262" spans="3:17" s="182" customFormat="1" ht="16">
      <c r="C262" s="640" t="s">
        <v>183</v>
      </c>
      <c r="D262" s="288"/>
      <c r="E262" s="288"/>
      <c r="F262" s="288">
        <f t="shared" ref="F262:P262" si="92">SUM(F260:F261)</f>
        <v>0</v>
      </c>
      <c r="G262" s="288" t="e">
        <f t="shared" si="92"/>
        <v>#DIV/0!</v>
      </c>
      <c r="H262" s="288" t="e">
        <f t="shared" si="92"/>
        <v>#DIV/0!</v>
      </c>
      <c r="I262" s="288" t="e">
        <f t="shared" si="92"/>
        <v>#DIV/0!</v>
      </c>
      <c r="J262" s="288" t="e">
        <f t="shared" si="92"/>
        <v>#DIV/0!</v>
      </c>
      <c r="K262" s="288" t="e">
        <f t="shared" si="92"/>
        <v>#DIV/0!</v>
      </c>
      <c r="L262" s="288" t="e">
        <f t="shared" si="92"/>
        <v>#DIV/0!</v>
      </c>
      <c r="M262" s="288" t="e">
        <f t="shared" si="92"/>
        <v>#DIV/0!</v>
      </c>
      <c r="N262" s="288" t="e">
        <f t="shared" si="92"/>
        <v>#DIV/0!</v>
      </c>
      <c r="O262" s="288" t="e">
        <f t="shared" si="92"/>
        <v>#DIV/0!</v>
      </c>
      <c r="P262" s="288" t="e">
        <f t="shared" si="92"/>
        <v>#DIV/0!</v>
      </c>
      <c r="Q262" s="653" t="e">
        <f t="shared" ref="Q262" si="93">SUM(Q260:Q261)</f>
        <v>#DIV/0!</v>
      </c>
    </row>
    <row r="263" spans="3:17" s="182" customFormat="1">
      <c r="C263" s="638"/>
      <c r="D263" s="313"/>
      <c r="E263" s="313"/>
      <c r="F263" s="313"/>
      <c r="G263" s="313"/>
      <c r="H263" s="313"/>
      <c r="I263" s="313"/>
      <c r="J263" s="313"/>
      <c r="K263" s="313"/>
      <c r="L263" s="313"/>
      <c r="M263" s="313"/>
      <c r="N263" s="313"/>
      <c r="O263" s="313"/>
      <c r="P263" s="313"/>
      <c r="Q263" s="652"/>
    </row>
    <row r="264" spans="3:17" s="182" customFormat="1" ht="16">
      <c r="C264" s="638" t="s">
        <v>184</v>
      </c>
      <c r="D264" s="283"/>
      <c r="E264" s="283"/>
      <c r="F264" s="283">
        <f t="shared" ref="F264:G264" si="94">+NPV(F256,F267:F295,(F296+F262))-F262</f>
        <v>0</v>
      </c>
      <c r="G264" s="283" t="e">
        <f t="shared" si="94"/>
        <v>#DIV/0!</v>
      </c>
      <c r="H264" s="283" t="e">
        <f>+NPV(H256,H267:H295,(H296+H262))-H262</f>
        <v>#DIV/0!</v>
      </c>
      <c r="I264" s="283" t="e">
        <f t="shared" ref="I264:Q264" si="95">+NPV(I256,I267:I295,(I296+I262))-I262</f>
        <v>#DIV/0!</v>
      </c>
      <c r="J264" s="283" t="e">
        <f t="shared" si="95"/>
        <v>#DIV/0!</v>
      </c>
      <c r="K264" s="283" t="e">
        <f t="shared" si="95"/>
        <v>#DIV/0!</v>
      </c>
      <c r="L264" s="283" t="e">
        <f t="shared" si="95"/>
        <v>#DIV/0!</v>
      </c>
      <c r="M264" s="283" t="e">
        <f t="shared" si="95"/>
        <v>#DIV/0!</v>
      </c>
      <c r="N264" s="283" t="e">
        <f t="shared" si="95"/>
        <v>#DIV/0!</v>
      </c>
      <c r="O264" s="283" t="e">
        <f t="shared" si="95"/>
        <v>#DIV/0!</v>
      </c>
      <c r="P264" s="283" t="e">
        <f t="shared" si="95"/>
        <v>#DIV/0!</v>
      </c>
      <c r="Q264" s="639" t="e">
        <f t="shared" si="95"/>
        <v>#DIV/0!</v>
      </c>
    </row>
    <row r="265" spans="3:17" s="182" customFormat="1">
      <c r="C265" s="638"/>
      <c r="Q265" s="643"/>
    </row>
    <row r="266" spans="3:17" s="182" customFormat="1">
      <c r="C266" s="638">
        <v>0</v>
      </c>
      <c r="D266" s="283"/>
      <c r="E266" s="283"/>
      <c r="F266" s="283"/>
      <c r="G266" s="283"/>
      <c r="H266" s="283"/>
      <c r="I266" s="283"/>
      <c r="J266" s="283"/>
      <c r="K266" s="283"/>
      <c r="L266" s="283"/>
      <c r="M266" s="283"/>
      <c r="N266" s="283"/>
      <c r="O266" s="283"/>
      <c r="P266" s="283"/>
      <c r="Q266" s="639"/>
    </row>
    <row r="267" spans="3:17" s="182" customFormat="1">
      <c r="C267" s="638">
        <v>1</v>
      </c>
      <c r="D267" s="283"/>
      <c r="E267" s="283"/>
      <c r="F267" s="283">
        <f t="shared" ref="F267:Q282" si="96">F$262*F$255</f>
        <v>0</v>
      </c>
      <c r="G267" s="283" t="e">
        <f t="shared" si="96"/>
        <v>#DIV/0!</v>
      </c>
      <c r="H267" s="283" t="e">
        <f t="shared" si="96"/>
        <v>#DIV/0!</v>
      </c>
      <c r="I267" s="283" t="e">
        <f t="shared" si="96"/>
        <v>#DIV/0!</v>
      </c>
      <c r="J267" s="283" t="e">
        <f t="shared" si="96"/>
        <v>#DIV/0!</v>
      </c>
      <c r="K267" s="283" t="e">
        <f t="shared" si="96"/>
        <v>#DIV/0!</v>
      </c>
      <c r="L267" s="283" t="e">
        <f t="shared" si="96"/>
        <v>#DIV/0!</v>
      </c>
      <c r="M267" s="283" t="e">
        <f t="shared" si="96"/>
        <v>#DIV/0!</v>
      </c>
      <c r="N267" s="283" t="e">
        <f t="shared" si="96"/>
        <v>#DIV/0!</v>
      </c>
      <c r="O267" s="283" t="e">
        <f t="shared" si="96"/>
        <v>#DIV/0!</v>
      </c>
      <c r="P267" s="283" t="e">
        <f t="shared" si="96"/>
        <v>#DIV/0!</v>
      </c>
      <c r="Q267" s="639" t="e">
        <f t="shared" si="96"/>
        <v>#DIV/0!</v>
      </c>
    </row>
    <row r="268" spans="3:17" s="182" customFormat="1">
      <c r="C268" s="638">
        <v>2</v>
      </c>
      <c r="D268" s="283"/>
      <c r="E268" s="283"/>
      <c r="F268" s="283">
        <f t="shared" si="96"/>
        <v>0</v>
      </c>
      <c r="G268" s="283" t="e">
        <f t="shared" si="96"/>
        <v>#DIV/0!</v>
      </c>
      <c r="H268" s="283" t="e">
        <f t="shared" si="96"/>
        <v>#DIV/0!</v>
      </c>
      <c r="I268" s="283" t="e">
        <f t="shared" si="96"/>
        <v>#DIV/0!</v>
      </c>
      <c r="J268" s="283" t="e">
        <f t="shared" si="96"/>
        <v>#DIV/0!</v>
      </c>
      <c r="K268" s="283" t="e">
        <f t="shared" si="96"/>
        <v>#DIV/0!</v>
      </c>
      <c r="L268" s="283" t="e">
        <f t="shared" si="96"/>
        <v>#DIV/0!</v>
      </c>
      <c r="M268" s="283" t="e">
        <f t="shared" si="96"/>
        <v>#DIV/0!</v>
      </c>
      <c r="N268" s="283" t="e">
        <f t="shared" si="96"/>
        <v>#DIV/0!</v>
      </c>
      <c r="O268" s="283" t="e">
        <f t="shared" si="96"/>
        <v>#DIV/0!</v>
      </c>
      <c r="P268" s="283" t="e">
        <f t="shared" si="96"/>
        <v>#DIV/0!</v>
      </c>
      <c r="Q268" s="639" t="e">
        <f t="shared" si="96"/>
        <v>#DIV/0!</v>
      </c>
    </row>
    <row r="269" spans="3:17" s="182" customFormat="1">
      <c r="C269" s="638">
        <v>3</v>
      </c>
      <c r="D269" s="283"/>
      <c r="E269" s="283"/>
      <c r="F269" s="283">
        <f t="shared" si="96"/>
        <v>0</v>
      </c>
      <c r="G269" s="283" t="e">
        <f t="shared" si="96"/>
        <v>#DIV/0!</v>
      </c>
      <c r="H269" s="283" t="e">
        <f t="shared" si="96"/>
        <v>#DIV/0!</v>
      </c>
      <c r="I269" s="283" t="e">
        <f t="shared" si="96"/>
        <v>#DIV/0!</v>
      </c>
      <c r="J269" s="283" t="e">
        <f t="shared" si="96"/>
        <v>#DIV/0!</v>
      </c>
      <c r="K269" s="283" t="e">
        <f t="shared" si="96"/>
        <v>#DIV/0!</v>
      </c>
      <c r="L269" s="283" t="e">
        <f t="shared" si="96"/>
        <v>#DIV/0!</v>
      </c>
      <c r="M269" s="283" t="e">
        <f t="shared" si="96"/>
        <v>#DIV/0!</v>
      </c>
      <c r="N269" s="283" t="e">
        <f t="shared" si="96"/>
        <v>#DIV/0!</v>
      </c>
      <c r="O269" s="283" t="e">
        <f t="shared" si="96"/>
        <v>#DIV/0!</v>
      </c>
      <c r="P269" s="283" t="e">
        <f t="shared" si="96"/>
        <v>#DIV/0!</v>
      </c>
      <c r="Q269" s="639" t="e">
        <f t="shared" si="96"/>
        <v>#DIV/0!</v>
      </c>
    </row>
    <row r="270" spans="3:17" s="182" customFormat="1">
      <c r="C270" s="638">
        <v>4</v>
      </c>
      <c r="D270" s="283"/>
      <c r="E270" s="283"/>
      <c r="F270" s="283">
        <f t="shared" si="96"/>
        <v>0</v>
      </c>
      <c r="G270" s="283" t="e">
        <f t="shared" si="96"/>
        <v>#DIV/0!</v>
      </c>
      <c r="H270" s="283" t="e">
        <f t="shared" si="96"/>
        <v>#DIV/0!</v>
      </c>
      <c r="I270" s="283" t="e">
        <f t="shared" si="96"/>
        <v>#DIV/0!</v>
      </c>
      <c r="J270" s="283" t="e">
        <f t="shared" si="96"/>
        <v>#DIV/0!</v>
      </c>
      <c r="K270" s="283" t="e">
        <f t="shared" si="96"/>
        <v>#DIV/0!</v>
      </c>
      <c r="L270" s="283" t="e">
        <f t="shared" si="96"/>
        <v>#DIV/0!</v>
      </c>
      <c r="M270" s="283" t="e">
        <f t="shared" si="96"/>
        <v>#DIV/0!</v>
      </c>
      <c r="N270" s="283" t="e">
        <f t="shared" si="96"/>
        <v>#DIV/0!</v>
      </c>
      <c r="O270" s="283" t="e">
        <f t="shared" si="96"/>
        <v>#DIV/0!</v>
      </c>
      <c r="P270" s="283" t="e">
        <f t="shared" si="96"/>
        <v>#DIV/0!</v>
      </c>
      <c r="Q270" s="639" t="e">
        <f t="shared" si="96"/>
        <v>#DIV/0!</v>
      </c>
    </row>
    <row r="271" spans="3:17" s="182" customFormat="1">
      <c r="C271" s="638">
        <v>5</v>
      </c>
      <c r="D271" s="283"/>
      <c r="E271" s="283"/>
      <c r="F271" s="283">
        <f t="shared" si="96"/>
        <v>0</v>
      </c>
      <c r="G271" s="283" t="e">
        <f t="shared" si="96"/>
        <v>#DIV/0!</v>
      </c>
      <c r="H271" s="283" t="e">
        <f t="shared" si="96"/>
        <v>#DIV/0!</v>
      </c>
      <c r="I271" s="283" t="e">
        <f t="shared" si="96"/>
        <v>#DIV/0!</v>
      </c>
      <c r="J271" s="283" t="e">
        <f t="shared" si="96"/>
        <v>#DIV/0!</v>
      </c>
      <c r="K271" s="283" t="e">
        <f t="shared" si="96"/>
        <v>#DIV/0!</v>
      </c>
      <c r="L271" s="283" t="e">
        <f t="shared" si="96"/>
        <v>#DIV/0!</v>
      </c>
      <c r="M271" s="283" t="e">
        <f t="shared" si="96"/>
        <v>#DIV/0!</v>
      </c>
      <c r="N271" s="283" t="e">
        <f t="shared" si="96"/>
        <v>#DIV/0!</v>
      </c>
      <c r="O271" s="283" t="e">
        <f t="shared" si="96"/>
        <v>#DIV/0!</v>
      </c>
      <c r="P271" s="283" t="e">
        <f t="shared" si="96"/>
        <v>#DIV/0!</v>
      </c>
      <c r="Q271" s="639" t="e">
        <f t="shared" si="96"/>
        <v>#DIV/0!</v>
      </c>
    </row>
    <row r="272" spans="3:17" s="182" customFormat="1">
      <c r="C272" s="638">
        <v>6</v>
      </c>
      <c r="D272" s="283"/>
      <c r="E272" s="283"/>
      <c r="F272" s="283">
        <f t="shared" si="96"/>
        <v>0</v>
      </c>
      <c r="G272" s="283" t="e">
        <f t="shared" si="96"/>
        <v>#DIV/0!</v>
      </c>
      <c r="H272" s="283" t="e">
        <f t="shared" si="96"/>
        <v>#DIV/0!</v>
      </c>
      <c r="I272" s="283" t="e">
        <f t="shared" si="96"/>
        <v>#DIV/0!</v>
      </c>
      <c r="J272" s="283" t="e">
        <f t="shared" si="96"/>
        <v>#DIV/0!</v>
      </c>
      <c r="K272" s="283" t="e">
        <f t="shared" si="96"/>
        <v>#DIV/0!</v>
      </c>
      <c r="L272" s="283" t="e">
        <f t="shared" si="96"/>
        <v>#DIV/0!</v>
      </c>
      <c r="M272" s="283" t="e">
        <f t="shared" si="96"/>
        <v>#DIV/0!</v>
      </c>
      <c r="N272" s="283" t="e">
        <f t="shared" si="96"/>
        <v>#DIV/0!</v>
      </c>
      <c r="O272" s="283" t="e">
        <f t="shared" si="96"/>
        <v>#DIV/0!</v>
      </c>
      <c r="P272" s="283" t="e">
        <f t="shared" si="96"/>
        <v>#DIV/0!</v>
      </c>
      <c r="Q272" s="639" t="e">
        <f t="shared" si="96"/>
        <v>#DIV/0!</v>
      </c>
    </row>
    <row r="273" spans="3:17" s="182" customFormat="1">
      <c r="C273" s="638">
        <v>7</v>
      </c>
      <c r="D273" s="283"/>
      <c r="E273" s="283"/>
      <c r="F273" s="283">
        <f t="shared" si="96"/>
        <v>0</v>
      </c>
      <c r="G273" s="283" t="e">
        <f t="shared" si="96"/>
        <v>#DIV/0!</v>
      </c>
      <c r="H273" s="283" t="e">
        <f t="shared" si="96"/>
        <v>#DIV/0!</v>
      </c>
      <c r="I273" s="283" t="e">
        <f t="shared" si="96"/>
        <v>#DIV/0!</v>
      </c>
      <c r="J273" s="283" t="e">
        <f t="shared" si="96"/>
        <v>#DIV/0!</v>
      </c>
      <c r="K273" s="283" t="e">
        <f t="shared" si="96"/>
        <v>#DIV/0!</v>
      </c>
      <c r="L273" s="283" t="e">
        <f t="shared" si="96"/>
        <v>#DIV/0!</v>
      </c>
      <c r="M273" s="283" t="e">
        <f t="shared" si="96"/>
        <v>#DIV/0!</v>
      </c>
      <c r="N273" s="283" t="e">
        <f t="shared" si="96"/>
        <v>#DIV/0!</v>
      </c>
      <c r="O273" s="283" t="e">
        <f t="shared" si="96"/>
        <v>#DIV/0!</v>
      </c>
      <c r="P273" s="283" t="e">
        <f t="shared" si="96"/>
        <v>#DIV/0!</v>
      </c>
      <c r="Q273" s="639" t="e">
        <f t="shared" si="96"/>
        <v>#DIV/0!</v>
      </c>
    </row>
    <row r="274" spans="3:17" s="182" customFormat="1">
      <c r="C274" s="638">
        <v>8</v>
      </c>
      <c r="D274" s="283"/>
      <c r="E274" s="283"/>
      <c r="F274" s="283">
        <f t="shared" si="96"/>
        <v>0</v>
      </c>
      <c r="G274" s="283" t="e">
        <f t="shared" si="96"/>
        <v>#DIV/0!</v>
      </c>
      <c r="H274" s="283" t="e">
        <f t="shared" si="96"/>
        <v>#DIV/0!</v>
      </c>
      <c r="I274" s="283" t="e">
        <f t="shared" si="96"/>
        <v>#DIV/0!</v>
      </c>
      <c r="J274" s="283" t="e">
        <f t="shared" si="96"/>
        <v>#DIV/0!</v>
      </c>
      <c r="K274" s="283" t="e">
        <f t="shared" si="96"/>
        <v>#DIV/0!</v>
      </c>
      <c r="L274" s="283" t="e">
        <f t="shared" si="96"/>
        <v>#DIV/0!</v>
      </c>
      <c r="M274" s="283" t="e">
        <f t="shared" si="96"/>
        <v>#DIV/0!</v>
      </c>
      <c r="N274" s="283" t="e">
        <f t="shared" si="96"/>
        <v>#DIV/0!</v>
      </c>
      <c r="O274" s="283" t="e">
        <f t="shared" si="96"/>
        <v>#DIV/0!</v>
      </c>
      <c r="P274" s="283" t="e">
        <f t="shared" si="96"/>
        <v>#DIV/0!</v>
      </c>
      <c r="Q274" s="639" t="e">
        <f t="shared" si="96"/>
        <v>#DIV/0!</v>
      </c>
    </row>
    <row r="275" spans="3:17" s="182" customFormat="1">
      <c r="C275" s="638">
        <v>9</v>
      </c>
      <c r="D275" s="283"/>
      <c r="E275" s="283"/>
      <c r="F275" s="283">
        <f t="shared" si="96"/>
        <v>0</v>
      </c>
      <c r="G275" s="283" t="e">
        <f t="shared" si="96"/>
        <v>#DIV/0!</v>
      </c>
      <c r="H275" s="283" t="e">
        <f t="shared" si="96"/>
        <v>#DIV/0!</v>
      </c>
      <c r="I275" s="283" t="e">
        <f t="shared" si="96"/>
        <v>#DIV/0!</v>
      </c>
      <c r="J275" s="283" t="e">
        <f t="shared" si="96"/>
        <v>#DIV/0!</v>
      </c>
      <c r="K275" s="283" t="e">
        <f t="shared" si="96"/>
        <v>#DIV/0!</v>
      </c>
      <c r="L275" s="283" t="e">
        <f t="shared" si="96"/>
        <v>#DIV/0!</v>
      </c>
      <c r="M275" s="283" t="e">
        <f t="shared" si="96"/>
        <v>#DIV/0!</v>
      </c>
      <c r="N275" s="283" t="e">
        <f t="shared" si="96"/>
        <v>#DIV/0!</v>
      </c>
      <c r="O275" s="283" t="e">
        <f t="shared" si="96"/>
        <v>#DIV/0!</v>
      </c>
      <c r="P275" s="283" t="e">
        <f t="shared" si="96"/>
        <v>#DIV/0!</v>
      </c>
      <c r="Q275" s="639" t="e">
        <f t="shared" si="96"/>
        <v>#DIV/0!</v>
      </c>
    </row>
    <row r="276" spans="3:17" s="182" customFormat="1">
      <c r="C276" s="638">
        <v>10</v>
      </c>
      <c r="D276" s="283"/>
      <c r="E276" s="283"/>
      <c r="F276" s="283">
        <f t="shared" si="96"/>
        <v>0</v>
      </c>
      <c r="G276" s="283" t="e">
        <f t="shared" si="96"/>
        <v>#DIV/0!</v>
      </c>
      <c r="H276" s="283" t="e">
        <f t="shared" si="96"/>
        <v>#DIV/0!</v>
      </c>
      <c r="I276" s="283" t="e">
        <f t="shared" si="96"/>
        <v>#DIV/0!</v>
      </c>
      <c r="J276" s="283" t="e">
        <f t="shared" si="96"/>
        <v>#DIV/0!</v>
      </c>
      <c r="K276" s="283" t="e">
        <f t="shared" si="96"/>
        <v>#DIV/0!</v>
      </c>
      <c r="L276" s="283" t="e">
        <f t="shared" si="96"/>
        <v>#DIV/0!</v>
      </c>
      <c r="M276" s="283" t="e">
        <f t="shared" si="96"/>
        <v>#DIV/0!</v>
      </c>
      <c r="N276" s="283" t="e">
        <f t="shared" si="96"/>
        <v>#DIV/0!</v>
      </c>
      <c r="O276" s="283" t="e">
        <f t="shared" si="96"/>
        <v>#DIV/0!</v>
      </c>
      <c r="P276" s="283" t="e">
        <f t="shared" si="96"/>
        <v>#DIV/0!</v>
      </c>
      <c r="Q276" s="639" t="e">
        <f t="shared" si="96"/>
        <v>#DIV/0!</v>
      </c>
    </row>
    <row r="277" spans="3:17" s="182" customFormat="1">
      <c r="C277" s="638">
        <v>11</v>
      </c>
      <c r="D277" s="283"/>
      <c r="E277" s="283"/>
      <c r="F277" s="283">
        <f t="shared" si="96"/>
        <v>0</v>
      </c>
      <c r="G277" s="283" t="e">
        <f t="shared" si="96"/>
        <v>#DIV/0!</v>
      </c>
      <c r="H277" s="283" t="e">
        <f t="shared" si="96"/>
        <v>#DIV/0!</v>
      </c>
      <c r="I277" s="283" t="e">
        <f t="shared" si="96"/>
        <v>#DIV/0!</v>
      </c>
      <c r="J277" s="283" t="e">
        <f t="shared" si="96"/>
        <v>#DIV/0!</v>
      </c>
      <c r="K277" s="283" t="e">
        <f t="shared" si="96"/>
        <v>#DIV/0!</v>
      </c>
      <c r="L277" s="283" t="e">
        <f t="shared" si="96"/>
        <v>#DIV/0!</v>
      </c>
      <c r="M277" s="283" t="e">
        <f t="shared" si="96"/>
        <v>#DIV/0!</v>
      </c>
      <c r="N277" s="283" t="e">
        <f t="shared" si="96"/>
        <v>#DIV/0!</v>
      </c>
      <c r="O277" s="283" t="e">
        <f t="shared" si="96"/>
        <v>#DIV/0!</v>
      </c>
      <c r="P277" s="283" t="e">
        <f t="shared" si="96"/>
        <v>#DIV/0!</v>
      </c>
      <c r="Q277" s="639" t="e">
        <f t="shared" si="96"/>
        <v>#DIV/0!</v>
      </c>
    </row>
    <row r="278" spans="3:17" s="182" customFormat="1">
      <c r="C278" s="638">
        <v>12</v>
      </c>
      <c r="D278" s="283"/>
      <c r="E278" s="283"/>
      <c r="F278" s="283">
        <f t="shared" si="96"/>
        <v>0</v>
      </c>
      <c r="G278" s="283" t="e">
        <f t="shared" si="96"/>
        <v>#DIV/0!</v>
      </c>
      <c r="H278" s="283" t="e">
        <f t="shared" si="96"/>
        <v>#DIV/0!</v>
      </c>
      <c r="I278" s="283" t="e">
        <f t="shared" si="96"/>
        <v>#DIV/0!</v>
      </c>
      <c r="J278" s="283" t="e">
        <f t="shared" si="96"/>
        <v>#DIV/0!</v>
      </c>
      <c r="K278" s="283" t="e">
        <f t="shared" si="96"/>
        <v>#DIV/0!</v>
      </c>
      <c r="L278" s="283" t="e">
        <f t="shared" si="96"/>
        <v>#DIV/0!</v>
      </c>
      <c r="M278" s="283" t="e">
        <f t="shared" si="96"/>
        <v>#DIV/0!</v>
      </c>
      <c r="N278" s="283" t="e">
        <f t="shared" si="96"/>
        <v>#DIV/0!</v>
      </c>
      <c r="O278" s="283" t="e">
        <f t="shared" si="96"/>
        <v>#DIV/0!</v>
      </c>
      <c r="P278" s="283" t="e">
        <f t="shared" si="96"/>
        <v>#DIV/0!</v>
      </c>
      <c r="Q278" s="639" t="e">
        <f t="shared" si="96"/>
        <v>#DIV/0!</v>
      </c>
    </row>
    <row r="279" spans="3:17" s="182" customFormat="1">
      <c r="C279" s="638">
        <v>13</v>
      </c>
      <c r="D279" s="283"/>
      <c r="E279" s="283"/>
      <c r="F279" s="283">
        <f t="shared" si="96"/>
        <v>0</v>
      </c>
      <c r="G279" s="283" t="e">
        <f t="shared" si="96"/>
        <v>#DIV/0!</v>
      </c>
      <c r="H279" s="283" t="e">
        <f t="shared" si="96"/>
        <v>#DIV/0!</v>
      </c>
      <c r="I279" s="283" t="e">
        <f t="shared" si="96"/>
        <v>#DIV/0!</v>
      </c>
      <c r="J279" s="283" t="e">
        <f t="shared" si="96"/>
        <v>#DIV/0!</v>
      </c>
      <c r="K279" s="283" t="e">
        <f t="shared" si="96"/>
        <v>#DIV/0!</v>
      </c>
      <c r="L279" s="283" t="e">
        <f t="shared" si="96"/>
        <v>#DIV/0!</v>
      </c>
      <c r="M279" s="283" t="e">
        <f t="shared" si="96"/>
        <v>#DIV/0!</v>
      </c>
      <c r="N279" s="283" t="e">
        <f t="shared" si="96"/>
        <v>#DIV/0!</v>
      </c>
      <c r="O279" s="283" t="e">
        <f t="shared" si="96"/>
        <v>#DIV/0!</v>
      </c>
      <c r="P279" s="283" t="e">
        <f t="shared" si="96"/>
        <v>#DIV/0!</v>
      </c>
      <c r="Q279" s="639" t="e">
        <f t="shared" si="96"/>
        <v>#DIV/0!</v>
      </c>
    </row>
    <row r="280" spans="3:17" s="182" customFormat="1">
      <c r="C280" s="638">
        <v>14</v>
      </c>
      <c r="D280" s="283"/>
      <c r="E280" s="283"/>
      <c r="F280" s="283">
        <f t="shared" si="96"/>
        <v>0</v>
      </c>
      <c r="G280" s="283" t="e">
        <f t="shared" si="96"/>
        <v>#DIV/0!</v>
      </c>
      <c r="H280" s="283" t="e">
        <f t="shared" si="96"/>
        <v>#DIV/0!</v>
      </c>
      <c r="I280" s="283" t="e">
        <f t="shared" si="96"/>
        <v>#DIV/0!</v>
      </c>
      <c r="J280" s="283" t="e">
        <f t="shared" si="96"/>
        <v>#DIV/0!</v>
      </c>
      <c r="K280" s="283" t="e">
        <f t="shared" si="96"/>
        <v>#DIV/0!</v>
      </c>
      <c r="L280" s="283" t="e">
        <f t="shared" si="96"/>
        <v>#DIV/0!</v>
      </c>
      <c r="M280" s="283" t="e">
        <f t="shared" si="96"/>
        <v>#DIV/0!</v>
      </c>
      <c r="N280" s="283" t="e">
        <f t="shared" si="96"/>
        <v>#DIV/0!</v>
      </c>
      <c r="O280" s="283" t="e">
        <f t="shared" si="96"/>
        <v>#DIV/0!</v>
      </c>
      <c r="P280" s="283" t="e">
        <f t="shared" si="96"/>
        <v>#DIV/0!</v>
      </c>
      <c r="Q280" s="639" t="e">
        <f t="shared" si="96"/>
        <v>#DIV/0!</v>
      </c>
    </row>
    <row r="281" spans="3:17" s="182" customFormat="1">
      <c r="C281" s="638">
        <v>15</v>
      </c>
      <c r="D281" s="283"/>
      <c r="E281" s="283"/>
      <c r="F281" s="283">
        <f t="shared" si="96"/>
        <v>0</v>
      </c>
      <c r="G281" s="283" t="e">
        <f t="shared" si="96"/>
        <v>#DIV/0!</v>
      </c>
      <c r="H281" s="283" t="e">
        <f t="shared" si="96"/>
        <v>#DIV/0!</v>
      </c>
      <c r="I281" s="283" t="e">
        <f t="shared" si="96"/>
        <v>#DIV/0!</v>
      </c>
      <c r="J281" s="283" t="e">
        <f t="shared" si="96"/>
        <v>#DIV/0!</v>
      </c>
      <c r="K281" s="283" t="e">
        <f t="shared" si="96"/>
        <v>#DIV/0!</v>
      </c>
      <c r="L281" s="283" t="e">
        <f t="shared" si="96"/>
        <v>#DIV/0!</v>
      </c>
      <c r="M281" s="283" t="e">
        <f t="shared" si="96"/>
        <v>#DIV/0!</v>
      </c>
      <c r="N281" s="283" t="e">
        <f t="shared" si="96"/>
        <v>#DIV/0!</v>
      </c>
      <c r="O281" s="283" t="e">
        <f t="shared" si="96"/>
        <v>#DIV/0!</v>
      </c>
      <c r="P281" s="283" t="e">
        <f t="shared" si="96"/>
        <v>#DIV/0!</v>
      </c>
      <c r="Q281" s="639" t="e">
        <f t="shared" si="96"/>
        <v>#DIV/0!</v>
      </c>
    </row>
    <row r="282" spans="3:17" s="182" customFormat="1">
      <c r="C282" s="638">
        <v>16</v>
      </c>
      <c r="D282" s="283"/>
      <c r="E282" s="283"/>
      <c r="F282" s="283">
        <f t="shared" si="96"/>
        <v>0</v>
      </c>
      <c r="G282" s="283" t="e">
        <f t="shared" si="96"/>
        <v>#DIV/0!</v>
      </c>
      <c r="H282" s="283" t="e">
        <f t="shared" si="96"/>
        <v>#DIV/0!</v>
      </c>
      <c r="I282" s="283" t="e">
        <f t="shared" si="96"/>
        <v>#DIV/0!</v>
      </c>
      <c r="J282" s="283" t="e">
        <f t="shared" si="96"/>
        <v>#DIV/0!</v>
      </c>
      <c r="K282" s="283" t="e">
        <f t="shared" si="96"/>
        <v>#DIV/0!</v>
      </c>
      <c r="L282" s="283" t="e">
        <f t="shared" si="96"/>
        <v>#DIV/0!</v>
      </c>
      <c r="M282" s="283" t="e">
        <f t="shared" si="96"/>
        <v>#DIV/0!</v>
      </c>
      <c r="N282" s="283" t="e">
        <f t="shared" si="96"/>
        <v>#DIV/0!</v>
      </c>
      <c r="O282" s="283" t="e">
        <f t="shared" si="96"/>
        <v>#DIV/0!</v>
      </c>
      <c r="P282" s="283" t="e">
        <f t="shared" si="96"/>
        <v>#DIV/0!</v>
      </c>
      <c r="Q282" s="639" t="e">
        <f t="shared" si="96"/>
        <v>#DIV/0!</v>
      </c>
    </row>
    <row r="283" spans="3:17" s="182" customFormat="1">
      <c r="C283" s="638">
        <v>17</v>
      </c>
      <c r="D283" s="283"/>
      <c r="E283" s="283"/>
      <c r="F283" s="283">
        <f t="shared" ref="F283:Q296" si="97">F$262*F$255</f>
        <v>0</v>
      </c>
      <c r="G283" s="283" t="e">
        <f t="shared" si="97"/>
        <v>#DIV/0!</v>
      </c>
      <c r="H283" s="283" t="e">
        <f t="shared" si="97"/>
        <v>#DIV/0!</v>
      </c>
      <c r="I283" s="283" t="e">
        <f t="shared" si="97"/>
        <v>#DIV/0!</v>
      </c>
      <c r="J283" s="283" t="e">
        <f t="shared" si="97"/>
        <v>#DIV/0!</v>
      </c>
      <c r="K283" s="283" t="e">
        <f t="shared" si="97"/>
        <v>#DIV/0!</v>
      </c>
      <c r="L283" s="283" t="e">
        <f t="shared" si="97"/>
        <v>#DIV/0!</v>
      </c>
      <c r="M283" s="283" t="e">
        <f t="shared" si="97"/>
        <v>#DIV/0!</v>
      </c>
      <c r="N283" s="283" t="e">
        <f t="shared" si="97"/>
        <v>#DIV/0!</v>
      </c>
      <c r="O283" s="283" t="e">
        <f t="shared" si="97"/>
        <v>#DIV/0!</v>
      </c>
      <c r="P283" s="283" t="e">
        <f t="shared" si="97"/>
        <v>#DIV/0!</v>
      </c>
      <c r="Q283" s="639" t="e">
        <f t="shared" si="97"/>
        <v>#DIV/0!</v>
      </c>
    </row>
    <row r="284" spans="3:17" s="182" customFormat="1">
      <c r="C284" s="638">
        <v>18</v>
      </c>
      <c r="D284" s="283"/>
      <c r="E284" s="283"/>
      <c r="F284" s="283">
        <f t="shared" si="97"/>
        <v>0</v>
      </c>
      <c r="G284" s="283" t="e">
        <f t="shared" si="97"/>
        <v>#DIV/0!</v>
      </c>
      <c r="H284" s="283" t="e">
        <f t="shared" si="97"/>
        <v>#DIV/0!</v>
      </c>
      <c r="I284" s="283" t="e">
        <f t="shared" si="97"/>
        <v>#DIV/0!</v>
      </c>
      <c r="J284" s="283" t="e">
        <f t="shared" si="97"/>
        <v>#DIV/0!</v>
      </c>
      <c r="K284" s="283" t="e">
        <f t="shared" si="97"/>
        <v>#DIV/0!</v>
      </c>
      <c r="L284" s="283" t="e">
        <f t="shared" si="97"/>
        <v>#DIV/0!</v>
      </c>
      <c r="M284" s="283" t="e">
        <f t="shared" si="97"/>
        <v>#DIV/0!</v>
      </c>
      <c r="N284" s="283" t="e">
        <f t="shared" si="97"/>
        <v>#DIV/0!</v>
      </c>
      <c r="O284" s="283" t="e">
        <f t="shared" si="97"/>
        <v>#DIV/0!</v>
      </c>
      <c r="P284" s="283" t="e">
        <f t="shared" si="97"/>
        <v>#DIV/0!</v>
      </c>
      <c r="Q284" s="639" t="e">
        <f t="shared" si="97"/>
        <v>#DIV/0!</v>
      </c>
    </row>
    <row r="285" spans="3:17" s="182" customFormat="1">
      <c r="C285" s="638">
        <v>19</v>
      </c>
      <c r="D285" s="283"/>
      <c r="E285" s="283"/>
      <c r="F285" s="283">
        <f t="shared" si="97"/>
        <v>0</v>
      </c>
      <c r="G285" s="283" t="e">
        <f t="shared" si="97"/>
        <v>#DIV/0!</v>
      </c>
      <c r="H285" s="283" t="e">
        <f t="shared" si="97"/>
        <v>#DIV/0!</v>
      </c>
      <c r="I285" s="283" t="e">
        <f t="shared" si="97"/>
        <v>#DIV/0!</v>
      </c>
      <c r="J285" s="283" t="e">
        <f t="shared" si="97"/>
        <v>#DIV/0!</v>
      </c>
      <c r="K285" s="283" t="e">
        <f t="shared" si="97"/>
        <v>#DIV/0!</v>
      </c>
      <c r="L285" s="283" t="e">
        <f t="shared" si="97"/>
        <v>#DIV/0!</v>
      </c>
      <c r="M285" s="283" t="e">
        <f t="shared" si="97"/>
        <v>#DIV/0!</v>
      </c>
      <c r="N285" s="283" t="e">
        <f t="shared" si="97"/>
        <v>#DIV/0!</v>
      </c>
      <c r="O285" s="283" t="e">
        <f t="shared" si="97"/>
        <v>#DIV/0!</v>
      </c>
      <c r="P285" s="283" t="e">
        <f t="shared" si="97"/>
        <v>#DIV/0!</v>
      </c>
      <c r="Q285" s="639" t="e">
        <f t="shared" si="97"/>
        <v>#DIV/0!</v>
      </c>
    </row>
    <row r="286" spans="3:17" s="182" customFormat="1">
      <c r="C286" s="638">
        <v>20</v>
      </c>
      <c r="D286" s="283"/>
      <c r="E286" s="283"/>
      <c r="F286" s="283">
        <f t="shared" si="97"/>
        <v>0</v>
      </c>
      <c r="G286" s="283" t="e">
        <f t="shared" si="97"/>
        <v>#DIV/0!</v>
      </c>
      <c r="H286" s="283" t="e">
        <f t="shared" si="97"/>
        <v>#DIV/0!</v>
      </c>
      <c r="I286" s="283" t="e">
        <f t="shared" si="97"/>
        <v>#DIV/0!</v>
      </c>
      <c r="J286" s="283" t="e">
        <f t="shared" si="97"/>
        <v>#DIV/0!</v>
      </c>
      <c r="K286" s="283" t="e">
        <f t="shared" si="97"/>
        <v>#DIV/0!</v>
      </c>
      <c r="L286" s="283" t="e">
        <f t="shared" si="97"/>
        <v>#DIV/0!</v>
      </c>
      <c r="M286" s="283" t="e">
        <f t="shared" si="97"/>
        <v>#DIV/0!</v>
      </c>
      <c r="N286" s="283" t="e">
        <f t="shared" si="97"/>
        <v>#DIV/0!</v>
      </c>
      <c r="O286" s="283" t="e">
        <f t="shared" si="97"/>
        <v>#DIV/0!</v>
      </c>
      <c r="P286" s="283" t="e">
        <f t="shared" si="97"/>
        <v>#DIV/0!</v>
      </c>
      <c r="Q286" s="639" t="e">
        <f t="shared" si="97"/>
        <v>#DIV/0!</v>
      </c>
    </row>
    <row r="287" spans="3:17" s="182" customFormat="1">
      <c r="C287" s="638">
        <v>21</v>
      </c>
      <c r="D287" s="283"/>
      <c r="E287" s="283"/>
      <c r="F287" s="283">
        <f t="shared" si="97"/>
        <v>0</v>
      </c>
      <c r="G287" s="283" t="e">
        <f t="shared" si="97"/>
        <v>#DIV/0!</v>
      </c>
      <c r="H287" s="283" t="e">
        <f t="shared" si="97"/>
        <v>#DIV/0!</v>
      </c>
      <c r="I287" s="283" t="e">
        <f t="shared" si="97"/>
        <v>#DIV/0!</v>
      </c>
      <c r="J287" s="283" t="e">
        <f t="shared" si="97"/>
        <v>#DIV/0!</v>
      </c>
      <c r="K287" s="283" t="e">
        <f t="shared" si="97"/>
        <v>#DIV/0!</v>
      </c>
      <c r="L287" s="283" t="e">
        <f t="shared" si="97"/>
        <v>#DIV/0!</v>
      </c>
      <c r="M287" s="283" t="e">
        <f t="shared" si="97"/>
        <v>#DIV/0!</v>
      </c>
      <c r="N287" s="283" t="e">
        <f t="shared" si="97"/>
        <v>#DIV/0!</v>
      </c>
      <c r="O287" s="283" t="e">
        <f t="shared" si="97"/>
        <v>#DIV/0!</v>
      </c>
      <c r="P287" s="283" t="e">
        <f t="shared" si="97"/>
        <v>#DIV/0!</v>
      </c>
      <c r="Q287" s="639" t="e">
        <f t="shared" si="97"/>
        <v>#DIV/0!</v>
      </c>
    </row>
    <row r="288" spans="3:17" s="182" customFormat="1">
      <c r="C288" s="638">
        <v>22</v>
      </c>
      <c r="D288" s="283"/>
      <c r="E288" s="283"/>
      <c r="F288" s="283">
        <f t="shared" si="97"/>
        <v>0</v>
      </c>
      <c r="G288" s="283" t="e">
        <f t="shared" si="97"/>
        <v>#DIV/0!</v>
      </c>
      <c r="H288" s="283" t="e">
        <f t="shared" si="97"/>
        <v>#DIV/0!</v>
      </c>
      <c r="I288" s="283" t="e">
        <f t="shared" si="97"/>
        <v>#DIV/0!</v>
      </c>
      <c r="J288" s="283" t="e">
        <f t="shared" si="97"/>
        <v>#DIV/0!</v>
      </c>
      <c r="K288" s="283" t="e">
        <f t="shared" si="97"/>
        <v>#DIV/0!</v>
      </c>
      <c r="L288" s="283" t="e">
        <f t="shared" si="97"/>
        <v>#DIV/0!</v>
      </c>
      <c r="M288" s="283" t="e">
        <f t="shared" si="97"/>
        <v>#DIV/0!</v>
      </c>
      <c r="N288" s="283" t="e">
        <f t="shared" si="97"/>
        <v>#DIV/0!</v>
      </c>
      <c r="O288" s="283" t="e">
        <f t="shared" si="97"/>
        <v>#DIV/0!</v>
      </c>
      <c r="P288" s="283" t="e">
        <f t="shared" si="97"/>
        <v>#DIV/0!</v>
      </c>
      <c r="Q288" s="639" t="e">
        <f t="shared" si="97"/>
        <v>#DIV/0!</v>
      </c>
    </row>
    <row r="289" spans="3:47" s="182" customFormat="1">
      <c r="C289" s="638">
        <v>23</v>
      </c>
      <c r="D289" s="283"/>
      <c r="E289" s="283"/>
      <c r="F289" s="283">
        <f t="shared" si="97"/>
        <v>0</v>
      </c>
      <c r="G289" s="283" t="e">
        <f t="shared" si="97"/>
        <v>#DIV/0!</v>
      </c>
      <c r="H289" s="283" t="e">
        <f t="shared" si="97"/>
        <v>#DIV/0!</v>
      </c>
      <c r="I289" s="283" t="e">
        <f t="shared" si="97"/>
        <v>#DIV/0!</v>
      </c>
      <c r="J289" s="283" t="e">
        <f t="shared" si="97"/>
        <v>#DIV/0!</v>
      </c>
      <c r="K289" s="283" t="e">
        <f t="shared" si="97"/>
        <v>#DIV/0!</v>
      </c>
      <c r="L289" s="283" t="e">
        <f t="shared" si="97"/>
        <v>#DIV/0!</v>
      </c>
      <c r="M289" s="283" t="e">
        <f t="shared" si="97"/>
        <v>#DIV/0!</v>
      </c>
      <c r="N289" s="283" t="e">
        <f t="shared" si="97"/>
        <v>#DIV/0!</v>
      </c>
      <c r="O289" s="283" t="e">
        <f t="shared" si="97"/>
        <v>#DIV/0!</v>
      </c>
      <c r="P289" s="283" t="e">
        <f t="shared" si="97"/>
        <v>#DIV/0!</v>
      </c>
      <c r="Q289" s="639" t="e">
        <f t="shared" si="97"/>
        <v>#DIV/0!</v>
      </c>
    </row>
    <row r="290" spans="3:47" s="182" customFormat="1">
      <c r="C290" s="638">
        <v>24</v>
      </c>
      <c r="D290" s="283"/>
      <c r="E290" s="283"/>
      <c r="F290" s="283">
        <f t="shared" si="97"/>
        <v>0</v>
      </c>
      <c r="G290" s="283" t="e">
        <f t="shared" si="97"/>
        <v>#DIV/0!</v>
      </c>
      <c r="H290" s="283" t="e">
        <f t="shared" si="97"/>
        <v>#DIV/0!</v>
      </c>
      <c r="I290" s="283" t="e">
        <f t="shared" si="97"/>
        <v>#DIV/0!</v>
      </c>
      <c r="J290" s="283" t="e">
        <f t="shared" si="97"/>
        <v>#DIV/0!</v>
      </c>
      <c r="K290" s="283" t="e">
        <f t="shared" si="97"/>
        <v>#DIV/0!</v>
      </c>
      <c r="L290" s="283" t="e">
        <f t="shared" si="97"/>
        <v>#DIV/0!</v>
      </c>
      <c r="M290" s="283" t="e">
        <f t="shared" si="97"/>
        <v>#DIV/0!</v>
      </c>
      <c r="N290" s="283" t="e">
        <f t="shared" si="97"/>
        <v>#DIV/0!</v>
      </c>
      <c r="O290" s="283" t="e">
        <f t="shared" si="97"/>
        <v>#DIV/0!</v>
      </c>
      <c r="P290" s="283" t="e">
        <f t="shared" si="97"/>
        <v>#DIV/0!</v>
      </c>
      <c r="Q290" s="639" t="e">
        <f t="shared" si="97"/>
        <v>#DIV/0!</v>
      </c>
    </row>
    <row r="291" spans="3:47" s="182" customFormat="1">
      <c r="C291" s="638">
        <v>25</v>
      </c>
      <c r="D291" s="283"/>
      <c r="E291" s="283"/>
      <c r="F291" s="283">
        <f t="shared" si="97"/>
        <v>0</v>
      </c>
      <c r="G291" s="283" t="e">
        <f t="shared" si="97"/>
        <v>#DIV/0!</v>
      </c>
      <c r="H291" s="283" t="e">
        <f t="shared" si="97"/>
        <v>#DIV/0!</v>
      </c>
      <c r="I291" s="283" t="e">
        <f t="shared" si="97"/>
        <v>#DIV/0!</v>
      </c>
      <c r="J291" s="283" t="e">
        <f t="shared" si="97"/>
        <v>#DIV/0!</v>
      </c>
      <c r="K291" s="283" t="e">
        <f t="shared" si="97"/>
        <v>#DIV/0!</v>
      </c>
      <c r="L291" s="283" t="e">
        <f t="shared" si="97"/>
        <v>#DIV/0!</v>
      </c>
      <c r="M291" s="283" t="e">
        <f t="shared" si="97"/>
        <v>#DIV/0!</v>
      </c>
      <c r="N291" s="283" t="e">
        <f t="shared" si="97"/>
        <v>#DIV/0!</v>
      </c>
      <c r="O291" s="283" t="e">
        <f t="shared" si="97"/>
        <v>#DIV/0!</v>
      </c>
      <c r="P291" s="283" t="e">
        <f t="shared" si="97"/>
        <v>#DIV/0!</v>
      </c>
      <c r="Q291" s="639" t="e">
        <f t="shared" si="97"/>
        <v>#DIV/0!</v>
      </c>
    </row>
    <row r="292" spans="3:47" s="182" customFormat="1">
      <c r="C292" s="638">
        <v>26</v>
      </c>
      <c r="D292" s="283"/>
      <c r="E292" s="283"/>
      <c r="F292" s="283">
        <f t="shared" si="97"/>
        <v>0</v>
      </c>
      <c r="G292" s="283" t="e">
        <f t="shared" si="97"/>
        <v>#DIV/0!</v>
      </c>
      <c r="H292" s="283" t="e">
        <f t="shared" si="97"/>
        <v>#DIV/0!</v>
      </c>
      <c r="I292" s="283" t="e">
        <f t="shared" si="97"/>
        <v>#DIV/0!</v>
      </c>
      <c r="J292" s="283" t="e">
        <f t="shared" si="97"/>
        <v>#DIV/0!</v>
      </c>
      <c r="K292" s="283" t="e">
        <f t="shared" si="97"/>
        <v>#DIV/0!</v>
      </c>
      <c r="L292" s="283" t="e">
        <f t="shared" si="97"/>
        <v>#DIV/0!</v>
      </c>
      <c r="M292" s="283" t="e">
        <f t="shared" si="97"/>
        <v>#DIV/0!</v>
      </c>
      <c r="N292" s="283" t="e">
        <f t="shared" si="97"/>
        <v>#DIV/0!</v>
      </c>
      <c r="O292" s="283" t="e">
        <f t="shared" si="97"/>
        <v>#DIV/0!</v>
      </c>
      <c r="P292" s="283" t="e">
        <f t="shared" si="97"/>
        <v>#DIV/0!</v>
      </c>
      <c r="Q292" s="639" t="e">
        <f t="shared" si="97"/>
        <v>#DIV/0!</v>
      </c>
    </row>
    <row r="293" spans="3:47" s="182" customFormat="1">
      <c r="C293" s="638">
        <v>27</v>
      </c>
      <c r="D293" s="283"/>
      <c r="E293" s="283"/>
      <c r="F293" s="283">
        <f t="shared" si="97"/>
        <v>0</v>
      </c>
      <c r="G293" s="283" t="e">
        <f t="shared" si="97"/>
        <v>#DIV/0!</v>
      </c>
      <c r="H293" s="283" t="e">
        <f t="shared" si="97"/>
        <v>#DIV/0!</v>
      </c>
      <c r="I293" s="283" t="e">
        <f t="shared" si="97"/>
        <v>#DIV/0!</v>
      </c>
      <c r="J293" s="283" t="e">
        <f t="shared" si="97"/>
        <v>#DIV/0!</v>
      </c>
      <c r="K293" s="283" t="e">
        <f t="shared" si="97"/>
        <v>#DIV/0!</v>
      </c>
      <c r="L293" s="283" t="e">
        <f t="shared" si="97"/>
        <v>#DIV/0!</v>
      </c>
      <c r="M293" s="283" t="e">
        <f t="shared" si="97"/>
        <v>#DIV/0!</v>
      </c>
      <c r="N293" s="283" t="e">
        <f t="shared" si="97"/>
        <v>#DIV/0!</v>
      </c>
      <c r="O293" s="283" t="e">
        <f t="shared" si="97"/>
        <v>#DIV/0!</v>
      </c>
      <c r="P293" s="283" t="e">
        <f t="shared" si="97"/>
        <v>#DIV/0!</v>
      </c>
      <c r="Q293" s="639" t="e">
        <f t="shared" si="97"/>
        <v>#DIV/0!</v>
      </c>
    </row>
    <row r="294" spans="3:47" s="182" customFormat="1">
      <c r="C294" s="638">
        <v>28</v>
      </c>
      <c r="D294" s="283"/>
      <c r="E294" s="283"/>
      <c r="F294" s="283">
        <f t="shared" si="97"/>
        <v>0</v>
      </c>
      <c r="G294" s="283" t="e">
        <f t="shared" si="97"/>
        <v>#DIV/0!</v>
      </c>
      <c r="H294" s="283" t="e">
        <f t="shared" si="97"/>
        <v>#DIV/0!</v>
      </c>
      <c r="I294" s="283" t="e">
        <f t="shared" si="97"/>
        <v>#DIV/0!</v>
      </c>
      <c r="J294" s="283" t="e">
        <f t="shared" si="97"/>
        <v>#DIV/0!</v>
      </c>
      <c r="K294" s="283" t="e">
        <f t="shared" si="97"/>
        <v>#DIV/0!</v>
      </c>
      <c r="L294" s="283" t="e">
        <f t="shared" si="97"/>
        <v>#DIV/0!</v>
      </c>
      <c r="M294" s="283" t="e">
        <f t="shared" si="97"/>
        <v>#DIV/0!</v>
      </c>
      <c r="N294" s="283" t="e">
        <f t="shared" si="97"/>
        <v>#DIV/0!</v>
      </c>
      <c r="O294" s="283" t="e">
        <f t="shared" si="97"/>
        <v>#DIV/0!</v>
      </c>
      <c r="P294" s="283" t="e">
        <f t="shared" si="97"/>
        <v>#DIV/0!</v>
      </c>
      <c r="Q294" s="639" t="e">
        <f t="shared" si="97"/>
        <v>#DIV/0!</v>
      </c>
    </row>
    <row r="295" spans="3:47" s="182" customFormat="1">
      <c r="C295" s="638">
        <v>29</v>
      </c>
      <c r="D295" s="283"/>
      <c r="E295" s="283"/>
      <c r="F295" s="283">
        <f t="shared" si="97"/>
        <v>0</v>
      </c>
      <c r="G295" s="283" t="e">
        <f t="shared" si="97"/>
        <v>#DIV/0!</v>
      </c>
      <c r="H295" s="283" t="e">
        <f t="shared" si="97"/>
        <v>#DIV/0!</v>
      </c>
      <c r="I295" s="283" t="e">
        <f t="shared" si="97"/>
        <v>#DIV/0!</v>
      </c>
      <c r="J295" s="283" t="e">
        <f t="shared" si="97"/>
        <v>#DIV/0!</v>
      </c>
      <c r="K295" s="283" t="e">
        <f t="shared" si="97"/>
        <v>#DIV/0!</v>
      </c>
      <c r="L295" s="283" t="e">
        <f t="shared" si="97"/>
        <v>#DIV/0!</v>
      </c>
      <c r="M295" s="283" t="e">
        <f t="shared" si="97"/>
        <v>#DIV/0!</v>
      </c>
      <c r="N295" s="283" t="e">
        <f t="shared" si="97"/>
        <v>#DIV/0!</v>
      </c>
      <c r="O295" s="283" t="e">
        <f t="shared" si="97"/>
        <v>#DIV/0!</v>
      </c>
      <c r="P295" s="283" t="e">
        <f t="shared" si="97"/>
        <v>#DIV/0!</v>
      </c>
      <c r="Q295" s="639" t="e">
        <f t="shared" si="97"/>
        <v>#DIV/0!</v>
      </c>
    </row>
    <row r="296" spans="3:47" s="182" customFormat="1">
      <c r="C296" s="638">
        <v>30</v>
      </c>
      <c r="D296" s="283"/>
      <c r="E296" s="283"/>
      <c r="F296" s="283">
        <f t="shared" si="97"/>
        <v>0</v>
      </c>
      <c r="G296" s="283" t="e">
        <f t="shared" si="97"/>
        <v>#DIV/0!</v>
      </c>
      <c r="H296" s="283" t="e">
        <f t="shared" si="97"/>
        <v>#DIV/0!</v>
      </c>
      <c r="I296" s="283" t="e">
        <f t="shared" si="97"/>
        <v>#DIV/0!</v>
      </c>
      <c r="J296" s="283" t="e">
        <f t="shared" si="97"/>
        <v>#DIV/0!</v>
      </c>
      <c r="K296" s="283" t="e">
        <f t="shared" si="97"/>
        <v>#DIV/0!</v>
      </c>
      <c r="L296" s="283" t="e">
        <f t="shared" si="97"/>
        <v>#DIV/0!</v>
      </c>
      <c r="M296" s="283" t="e">
        <f t="shared" si="97"/>
        <v>#DIV/0!</v>
      </c>
      <c r="N296" s="283" t="e">
        <f t="shared" si="97"/>
        <v>#DIV/0!</v>
      </c>
      <c r="O296" s="283" t="e">
        <f t="shared" si="97"/>
        <v>#DIV/0!</v>
      </c>
      <c r="P296" s="283" t="e">
        <f t="shared" si="97"/>
        <v>#DIV/0!</v>
      </c>
      <c r="Q296" s="639" t="e">
        <f t="shared" si="97"/>
        <v>#DIV/0!</v>
      </c>
    </row>
    <row r="297" spans="3:47" s="182" customFormat="1">
      <c r="C297" s="638"/>
      <c r="Q297" s="643"/>
    </row>
    <row r="298" spans="3:47" s="182" customFormat="1" ht="16">
      <c r="C298" s="638" t="s">
        <v>173</v>
      </c>
      <c r="D298" s="283"/>
      <c r="E298" s="283"/>
      <c r="F298" s="283">
        <f>E267+D268</f>
        <v>0</v>
      </c>
      <c r="G298" s="283">
        <f>F267+E268+D269</f>
        <v>0</v>
      </c>
      <c r="H298" s="283" t="e">
        <f>G267+F268+E269+D270</f>
        <v>#DIV/0!</v>
      </c>
      <c r="I298" s="283" t="e">
        <f>H267+G268+F269+E270+D271</f>
        <v>#DIV/0!</v>
      </c>
      <c r="J298" s="283" t="e">
        <f>I267+H268+G269+F270+E271+D272</f>
        <v>#DIV/0!</v>
      </c>
      <c r="K298" s="283" t="e">
        <f>J267+I268+H269+G270+F271+E272+D273</f>
        <v>#DIV/0!</v>
      </c>
      <c r="L298" s="283" t="e">
        <f>K267+J268+I269+H270+G271+F272+E273+D274</f>
        <v>#DIV/0!</v>
      </c>
      <c r="M298" s="283" t="e">
        <f>L267+K268+J269+I270+H271+G272+F273+E274+D275</f>
        <v>#DIV/0!</v>
      </c>
      <c r="N298" s="283" t="e">
        <f>M267+L268+K269+J270+I271+H272+G273+F274+E275+D276</f>
        <v>#DIV/0!</v>
      </c>
      <c r="O298" s="283" t="e">
        <f>N267+M268+L269+K270+J271+I272+H273+G274+F275+E276+D277</f>
        <v>#DIV/0!</v>
      </c>
      <c r="P298" s="283" t="e">
        <f>O267+N268+M269+L270+K271+J272+I273+H274+G275+F276+E277</f>
        <v>#DIV/0!</v>
      </c>
      <c r="Q298" s="639" t="e">
        <f>P267+O268+N269+M270+L271+K272+J273+I274+H275+G276+F277</f>
        <v>#DIV/0!</v>
      </c>
    </row>
    <row r="299" spans="3:47" s="182" customFormat="1" ht="16">
      <c r="C299" s="658" t="s">
        <v>174</v>
      </c>
      <c r="D299" s="659"/>
      <c r="E299" s="659"/>
      <c r="F299" s="659">
        <f t="shared" ref="F299:Q299" si="98">F266</f>
        <v>0</v>
      </c>
      <c r="G299" s="659">
        <f t="shared" si="98"/>
        <v>0</v>
      </c>
      <c r="H299" s="659">
        <f t="shared" si="98"/>
        <v>0</v>
      </c>
      <c r="I299" s="659">
        <f t="shared" si="98"/>
        <v>0</v>
      </c>
      <c r="J299" s="659">
        <f t="shared" si="98"/>
        <v>0</v>
      </c>
      <c r="K299" s="659">
        <f t="shared" si="98"/>
        <v>0</v>
      </c>
      <c r="L299" s="659">
        <f t="shared" si="98"/>
        <v>0</v>
      </c>
      <c r="M299" s="659">
        <f t="shared" si="98"/>
        <v>0</v>
      </c>
      <c r="N299" s="659">
        <f t="shared" si="98"/>
        <v>0</v>
      </c>
      <c r="O299" s="659">
        <f t="shared" si="98"/>
        <v>0</v>
      </c>
      <c r="P299" s="659">
        <f t="shared" si="98"/>
        <v>0</v>
      </c>
      <c r="Q299" s="660">
        <f t="shared" si="98"/>
        <v>0</v>
      </c>
    </row>
    <row r="300" spans="3:47" s="182" customFormat="1">
      <c r="C300" s="323"/>
      <c r="D300" s="283"/>
      <c r="E300" s="283"/>
      <c r="F300" s="283"/>
      <c r="G300" s="283"/>
      <c r="H300" s="283"/>
      <c r="I300" s="283"/>
      <c r="J300" s="283"/>
      <c r="K300" s="283"/>
      <c r="L300" s="283"/>
      <c r="M300" s="283"/>
      <c r="N300" s="283"/>
      <c r="O300" s="283"/>
      <c r="P300" s="283"/>
      <c r="Q300" s="283"/>
    </row>
    <row r="301" spans="3:47" ht="16">
      <c r="C301" s="661" t="s">
        <v>185</v>
      </c>
      <c r="D301" s="662">
        <v>2022</v>
      </c>
      <c r="E301" s="662">
        <v>2023</v>
      </c>
      <c r="F301" s="662">
        <v>2024</v>
      </c>
      <c r="G301" s="662">
        <v>2025</v>
      </c>
      <c r="H301" s="662">
        <v>2026</v>
      </c>
      <c r="I301" s="662">
        <v>2027</v>
      </c>
      <c r="J301" s="662">
        <v>2028</v>
      </c>
      <c r="K301" s="662">
        <v>2029</v>
      </c>
      <c r="L301" s="662">
        <v>2030</v>
      </c>
      <c r="M301" s="662">
        <v>2031</v>
      </c>
      <c r="N301" s="662">
        <v>2032</v>
      </c>
      <c r="O301" s="662">
        <v>2033</v>
      </c>
      <c r="P301" s="662">
        <v>2034</v>
      </c>
      <c r="Q301" s="663">
        <v>2035</v>
      </c>
      <c r="R301" s="329">
        <v>2036</v>
      </c>
      <c r="S301" s="329">
        <v>2037</v>
      </c>
      <c r="T301" s="329">
        <v>2038</v>
      </c>
      <c r="U301" s="329">
        <v>2039</v>
      </c>
      <c r="V301" s="329">
        <v>2040</v>
      </c>
      <c r="W301" s="329">
        <v>2041</v>
      </c>
      <c r="X301" s="329">
        <v>2042</v>
      </c>
      <c r="Y301" s="329">
        <v>2043</v>
      </c>
      <c r="Z301" s="329">
        <v>2044</v>
      </c>
      <c r="AA301" s="329">
        <v>2045</v>
      </c>
      <c r="AB301" s="329">
        <v>2046</v>
      </c>
      <c r="AC301" s="329">
        <v>2047</v>
      </c>
      <c r="AD301" s="329">
        <v>2048</v>
      </c>
      <c r="AE301" s="329">
        <v>2049</v>
      </c>
      <c r="AF301" s="329">
        <v>2050</v>
      </c>
      <c r="AG301" s="329">
        <v>2051</v>
      </c>
      <c r="AH301" s="329">
        <v>2052</v>
      </c>
      <c r="AI301" s="329">
        <v>2053</v>
      </c>
      <c r="AJ301" s="329">
        <v>2054</v>
      </c>
      <c r="AK301" s="329">
        <v>2055</v>
      </c>
      <c r="AL301" s="329">
        <v>2056</v>
      </c>
      <c r="AM301" s="329">
        <v>2057</v>
      </c>
      <c r="AN301" s="329">
        <v>2058</v>
      </c>
      <c r="AO301" s="329">
        <v>2059</v>
      </c>
      <c r="AP301" s="329">
        <v>2060</v>
      </c>
      <c r="AQ301" s="329">
        <v>2061</v>
      </c>
      <c r="AR301" s="329">
        <v>2062</v>
      </c>
      <c r="AS301" s="329">
        <v>2063</v>
      </c>
      <c r="AT301" s="329">
        <v>2064</v>
      </c>
      <c r="AU301" s="329">
        <v>2065</v>
      </c>
    </row>
    <row r="302" spans="3:47" ht="16">
      <c r="C302" s="664" t="s">
        <v>186</v>
      </c>
      <c r="D302" s="179"/>
      <c r="E302" s="179">
        <f>+'Deuda a emitir'!E13</f>
        <v>357.8322</v>
      </c>
      <c r="F302" s="179">
        <f>+'Deuda a emitir'!F13</f>
        <v>357.8322</v>
      </c>
      <c r="G302" s="179">
        <f>+'Deuda a emitir'!G13</f>
        <v>357.8322</v>
      </c>
      <c r="H302" s="179">
        <f>+'Deuda a emitir'!H13</f>
        <v>357.8322</v>
      </c>
      <c r="I302" s="179">
        <f>+'Deuda a emitir'!I13</f>
        <v>357.8322</v>
      </c>
      <c r="J302" s="179">
        <f>+'Deuda a emitir'!J13</f>
        <v>357.8322</v>
      </c>
      <c r="K302" s="179">
        <f>+'Deuda a emitir'!K13</f>
        <v>357.8322</v>
      </c>
      <c r="L302" s="179">
        <f>+'Deuda a emitir'!L13</f>
        <v>357.8322</v>
      </c>
      <c r="M302" s="179">
        <f>+'Deuda a emitir'!M13</f>
        <v>357.8322</v>
      </c>
      <c r="N302" s="179">
        <f>+'Deuda a emitir'!N13</f>
        <v>357.8322</v>
      </c>
      <c r="O302" s="179">
        <f>+'Deuda a emitir'!O13</f>
        <v>357.8322</v>
      </c>
      <c r="P302" s="179">
        <f>+'Deuda a emitir'!P13</f>
        <v>357.8322</v>
      </c>
      <c r="Q302" s="665">
        <f>+'Deuda a emitir'!Q13</f>
        <v>357.8322</v>
      </c>
      <c r="R302" s="179">
        <f>+'Deuda a emitir'!R13</f>
        <v>357.8322</v>
      </c>
      <c r="S302" s="179">
        <f>+'Deuda a emitir'!S13</f>
        <v>357.8322</v>
      </c>
      <c r="T302" s="179">
        <f>+'Deuda a emitir'!T13</f>
        <v>357.8322</v>
      </c>
      <c r="U302" s="179">
        <f>+'Deuda a emitir'!U13</f>
        <v>357.8322</v>
      </c>
      <c r="V302" s="179">
        <f>+'Deuda a emitir'!V13</f>
        <v>357.8322</v>
      </c>
      <c r="W302" s="179">
        <f>+'Deuda a emitir'!W13</f>
        <v>357.8322</v>
      </c>
      <c r="X302" s="179">
        <f>+'Deuda a emitir'!X13</f>
        <v>357.8322</v>
      </c>
      <c r="Y302" s="179">
        <f>+'Deuda a emitir'!Y13</f>
        <v>357.8322</v>
      </c>
      <c r="Z302" s="179">
        <f>+'Deuda a emitir'!Z13</f>
        <v>357.8322</v>
      </c>
      <c r="AA302" s="179">
        <f>+'Deuda a emitir'!AA13</f>
        <v>357.8322</v>
      </c>
      <c r="AB302" s="179">
        <f>+'Deuda a emitir'!AB13</f>
        <v>357.8322</v>
      </c>
      <c r="AC302" s="179">
        <f>+'Deuda a emitir'!AC13</f>
        <v>357.8322</v>
      </c>
      <c r="AD302" s="179">
        <f>+'Deuda a emitir'!AD13</f>
        <v>357.8322</v>
      </c>
      <c r="AE302" s="179">
        <f>+'Deuda a emitir'!AE13</f>
        <v>357.8322</v>
      </c>
      <c r="AF302" s="179">
        <f>+'Deuda a emitir'!AF13</f>
        <v>357.8322</v>
      </c>
      <c r="AG302" s="179">
        <f>+'Deuda a emitir'!AG13</f>
        <v>357.8322</v>
      </c>
      <c r="AH302" s="179">
        <f>+'Deuda a emitir'!AH13</f>
        <v>357.8322</v>
      </c>
      <c r="AI302" s="179">
        <f>+'Deuda a emitir'!AI13</f>
        <v>357.8322</v>
      </c>
      <c r="AJ302" s="179">
        <f>+'Deuda a emitir'!AJ13</f>
        <v>357.8322</v>
      </c>
      <c r="AK302" s="179">
        <f>+'Deuda a emitir'!AK13</f>
        <v>357.8322</v>
      </c>
      <c r="AL302" s="179">
        <f>+'Deuda a emitir'!AL13</f>
        <v>357.8322</v>
      </c>
      <c r="AM302" s="179">
        <f>+'Deuda a emitir'!AM13</f>
        <v>357.8322</v>
      </c>
      <c r="AN302" s="179">
        <f>+'Deuda a emitir'!AN13</f>
        <v>357.8322</v>
      </c>
      <c r="AO302" s="179">
        <f>+'Deuda a emitir'!AO13</f>
        <v>357.8322</v>
      </c>
      <c r="AP302" s="179">
        <f>+'Deuda a emitir'!AP13</f>
        <v>357.8322</v>
      </c>
      <c r="AQ302" s="179">
        <f>+'Deuda a emitir'!AQ13</f>
        <v>357.8322</v>
      </c>
      <c r="AR302" s="179">
        <f>+'Deuda a emitir'!AR13</f>
        <v>357.8322</v>
      </c>
      <c r="AS302" s="179">
        <f>+'Deuda a emitir'!AS13</f>
        <v>357.8322</v>
      </c>
      <c r="AT302" s="179">
        <f>+'Deuda a emitir'!AT13</f>
        <v>357.8322</v>
      </c>
      <c r="AU302" s="179">
        <f>+'Deuda a emitir'!AU13</f>
        <v>357.8322</v>
      </c>
    </row>
    <row r="303" spans="3:47" ht="16">
      <c r="C303" s="664" t="s">
        <v>92</v>
      </c>
      <c r="D303" s="291"/>
      <c r="E303" s="291"/>
      <c r="F303" s="291">
        <f>'Deuda a emitir'!F12</f>
        <v>0</v>
      </c>
      <c r="G303" s="291">
        <f>'Deuda a emitir'!G12</f>
        <v>0</v>
      </c>
      <c r="H303" s="291">
        <f>'Deuda a emitir'!H12</f>
        <v>0</v>
      </c>
      <c r="I303" s="291">
        <f>'Deuda a emitir'!I12</f>
        <v>0</v>
      </c>
      <c r="J303" s="291">
        <f>'Deuda a emitir'!J12</f>
        <v>0</v>
      </c>
      <c r="K303" s="291">
        <f>'Deuda a emitir'!K12</f>
        <v>0</v>
      </c>
      <c r="L303" s="291">
        <f>'Deuda a emitir'!L12</f>
        <v>0</v>
      </c>
      <c r="M303" s="291">
        <f>'Deuda a emitir'!M12</f>
        <v>0</v>
      </c>
      <c r="N303" s="291">
        <f>'Deuda a emitir'!N12</f>
        <v>0</v>
      </c>
      <c r="O303" s="291">
        <f>'Deuda a emitir'!O12</f>
        <v>0</v>
      </c>
      <c r="P303" s="291">
        <f>'Deuda a emitir'!P12</f>
        <v>0</v>
      </c>
      <c r="Q303" s="666">
        <f>'Deuda a emitir'!Q12</f>
        <v>0</v>
      </c>
      <c r="R303" s="279">
        <f>'Deuda a emitir'!R12</f>
        <v>0</v>
      </c>
      <c r="S303" s="279">
        <f>'Deuda a emitir'!S12</f>
        <v>0</v>
      </c>
      <c r="T303" s="279">
        <f>'Deuda a emitir'!T12</f>
        <v>0</v>
      </c>
      <c r="U303" s="279">
        <f>'Deuda a emitir'!U12</f>
        <v>0</v>
      </c>
      <c r="V303" s="279">
        <f>'Deuda a emitir'!V12</f>
        <v>0</v>
      </c>
      <c r="W303" s="279">
        <f>'Deuda a emitir'!W12</f>
        <v>0</v>
      </c>
      <c r="X303" s="279">
        <f>'Deuda a emitir'!X12</f>
        <v>0</v>
      </c>
      <c r="Y303" s="279">
        <f>'Deuda a emitir'!Y12</f>
        <v>0</v>
      </c>
      <c r="Z303" s="279">
        <f>'Deuda a emitir'!Z12</f>
        <v>0</v>
      </c>
      <c r="AA303" s="279">
        <f>'Deuda a emitir'!AA12</f>
        <v>0</v>
      </c>
      <c r="AB303" s="279">
        <f>'Deuda a emitir'!AB12</f>
        <v>0</v>
      </c>
      <c r="AC303" s="279">
        <f>'Deuda a emitir'!AC12</f>
        <v>0</v>
      </c>
      <c r="AD303" s="279">
        <f>'Deuda a emitir'!AD12</f>
        <v>0</v>
      </c>
      <c r="AE303" s="279">
        <f>'Deuda a emitir'!AE12</f>
        <v>0</v>
      </c>
      <c r="AF303" s="279">
        <f>'Deuda a emitir'!AF12</f>
        <v>0</v>
      </c>
      <c r="AG303" s="279">
        <f>'Deuda a emitir'!AG12</f>
        <v>0</v>
      </c>
      <c r="AH303" s="279">
        <f>'Deuda a emitir'!AH12</f>
        <v>0</v>
      </c>
      <c r="AI303" s="279">
        <f>'Deuda a emitir'!AI12</f>
        <v>0</v>
      </c>
      <c r="AJ303" s="279">
        <f>'Deuda a emitir'!AJ12</f>
        <v>0</v>
      </c>
      <c r="AK303" s="279">
        <f>'Deuda a emitir'!AK12</f>
        <v>0</v>
      </c>
      <c r="AL303" s="279">
        <f>'Deuda a emitir'!AL12</f>
        <v>0</v>
      </c>
      <c r="AM303" s="279">
        <f>'Deuda a emitir'!AM12</f>
        <v>0</v>
      </c>
      <c r="AN303" s="279">
        <f>'Deuda a emitir'!AN12</f>
        <v>0</v>
      </c>
      <c r="AO303" s="279">
        <f>'Deuda a emitir'!AO12</f>
        <v>0</v>
      </c>
      <c r="AP303" s="279">
        <f>'Deuda a emitir'!AP12</f>
        <v>0</v>
      </c>
      <c r="AQ303" s="279">
        <f>'Deuda a emitir'!AQ12</f>
        <v>0</v>
      </c>
      <c r="AR303" s="279">
        <f>'Deuda a emitir'!AR12</f>
        <v>0</v>
      </c>
      <c r="AS303" s="279">
        <f>'Deuda a emitir'!AS12</f>
        <v>0</v>
      </c>
      <c r="AT303" s="279">
        <f>'Deuda a emitir'!AT12</f>
        <v>0</v>
      </c>
      <c r="AU303" s="279">
        <f>'Deuda a emitir'!AU12</f>
        <v>0</v>
      </c>
    </row>
    <row r="304" spans="3:47" ht="32">
      <c r="C304" s="664" t="s">
        <v>187</v>
      </c>
      <c r="D304" s="283"/>
      <c r="E304" s="283"/>
      <c r="F304" s="283">
        <f>'Deuda a emitir'!F$138*'Deuda a emitir'!F23</f>
        <v>0</v>
      </c>
      <c r="G304" s="283" t="e">
        <f>'Deuda a emitir'!G$138*'Deuda a emitir'!G23</f>
        <v>#DIV/0!</v>
      </c>
      <c r="H304" s="283" t="e">
        <f>'Deuda a emitir'!H$138*'Deuda a emitir'!H23</f>
        <v>#DIV/0!</v>
      </c>
      <c r="I304" s="283" t="e">
        <f>'Deuda a emitir'!I$138*'Deuda a emitir'!I23</f>
        <v>#DIV/0!</v>
      </c>
      <c r="J304" s="283" t="e">
        <f>'Deuda a emitir'!J$138*'Deuda a emitir'!J23</f>
        <v>#DIV/0!</v>
      </c>
      <c r="K304" s="283" t="e">
        <f>'Deuda a emitir'!K$138*'Deuda a emitir'!K23</f>
        <v>#DIV/0!</v>
      </c>
      <c r="L304" s="283" t="e">
        <f>'Deuda a emitir'!L$138*'Deuda a emitir'!L23</f>
        <v>#DIV/0!</v>
      </c>
      <c r="M304" s="283" t="e">
        <f>'Deuda a emitir'!M$138*'Deuda a emitir'!M23</f>
        <v>#DIV/0!</v>
      </c>
      <c r="N304" s="283" t="e">
        <f>'Deuda a emitir'!N$138*'Deuda a emitir'!N23</f>
        <v>#DIV/0!</v>
      </c>
      <c r="O304" s="283" t="e">
        <f>'Deuda a emitir'!O$138*'Deuda a emitir'!O23</f>
        <v>#DIV/0!</v>
      </c>
      <c r="P304" s="283" t="e">
        <f>'Deuda a emitir'!P$138*'Deuda a emitir'!P23</f>
        <v>#DIV/0!</v>
      </c>
      <c r="Q304" s="667" t="e">
        <f>'Deuda a emitir'!Q$138*'Deuda a emitir'!Q23</f>
        <v>#DIV/0!</v>
      </c>
      <c r="R304" s="283"/>
      <c r="S304" s="283"/>
      <c r="T304" s="182"/>
      <c r="U304" s="182"/>
      <c r="V304" s="182"/>
      <c r="W304" s="182"/>
      <c r="X304" s="182"/>
      <c r="Y304" s="182"/>
      <c r="Z304" s="182"/>
      <c r="AA304" s="182"/>
      <c r="AB304" s="182"/>
      <c r="AC304" s="182"/>
      <c r="AD304" s="182"/>
      <c r="AE304" s="182"/>
      <c r="AF304" s="182"/>
      <c r="AG304" s="182"/>
      <c r="AH304" s="182"/>
      <c r="AI304" s="182"/>
      <c r="AJ304" s="182"/>
      <c r="AK304" s="182"/>
      <c r="AL304" s="182"/>
      <c r="AM304" s="182"/>
      <c r="AN304" s="182"/>
      <c r="AO304" s="182"/>
      <c r="AP304" s="182"/>
      <c r="AQ304" s="182"/>
      <c r="AR304" s="182"/>
      <c r="AS304" s="182"/>
      <c r="AT304" s="182"/>
      <c r="AU304" s="182"/>
    </row>
    <row r="305" spans="3:47" ht="32">
      <c r="C305" s="664" t="s">
        <v>171</v>
      </c>
      <c r="D305" s="283"/>
      <c r="E305" s="283"/>
      <c r="F305" s="283">
        <f>'Deuda a emitir'!F$149*'Deuda a emitir'!F23</f>
        <v>0</v>
      </c>
      <c r="G305" s="283">
        <f>'Deuda a emitir'!G$149*'Deuda a emitir'!G23</f>
        <v>0</v>
      </c>
      <c r="H305" s="283">
        <f>'Deuda a emitir'!H$149*'Deuda a emitir'!H23</f>
        <v>0</v>
      </c>
      <c r="I305" s="283">
        <f>'Deuda a emitir'!I$149*'Deuda a emitir'!I23</f>
        <v>0</v>
      </c>
      <c r="J305" s="283">
        <f>'Deuda a emitir'!J$149*'Deuda a emitir'!J23</f>
        <v>0</v>
      </c>
      <c r="K305" s="283">
        <f>'Deuda a emitir'!K$149*'Deuda a emitir'!K23</f>
        <v>0</v>
      </c>
      <c r="L305" s="283">
        <f>'Deuda a emitir'!L$149*'Deuda a emitir'!L23</f>
        <v>0</v>
      </c>
      <c r="M305" s="283">
        <f>'Deuda a emitir'!M$149*'Deuda a emitir'!M23</f>
        <v>0</v>
      </c>
      <c r="N305" s="283">
        <f>'Deuda a emitir'!N$149*'Deuda a emitir'!N23</f>
        <v>0</v>
      </c>
      <c r="O305" s="283">
        <f>'Deuda a emitir'!O$149*'Deuda a emitir'!O23</f>
        <v>0</v>
      </c>
      <c r="P305" s="283">
        <f>'Deuda a emitir'!P$149*'Deuda a emitir'!P23</f>
        <v>0</v>
      </c>
      <c r="Q305" s="667">
        <f>'Deuda a emitir'!Q$149*'Deuda a emitir'!Q23</f>
        <v>0</v>
      </c>
      <c r="R305" s="283"/>
      <c r="S305" s="283"/>
      <c r="T305" s="182"/>
      <c r="U305" s="182"/>
      <c r="V305" s="182"/>
      <c r="W305" s="182"/>
      <c r="X305" s="182"/>
      <c r="Y305" s="182"/>
      <c r="Z305" s="182"/>
      <c r="AA305" s="182"/>
      <c r="AB305" s="182"/>
      <c r="AC305" s="182"/>
      <c r="AD305" s="182"/>
      <c r="AE305" s="182"/>
      <c r="AF305" s="182"/>
      <c r="AG305" s="182"/>
      <c r="AH305" s="182"/>
      <c r="AI305" s="182"/>
      <c r="AJ305" s="182"/>
      <c r="AK305" s="182"/>
      <c r="AL305" s="182"/>
      <c r="AM305" s="182"/>
      <c r="AN305" s="182"/>
      <c r="AO305" s="182"/>
      <c r="AP305" s="182"/>
      <c r="AQ305" s="182"/>
      <c r="AR305" s="182"/>
      <c r="AS305" s="182"/>
      <c r="AT305" s="182"/>
      <c r="AU305" s="182"/>
    </row>
    <row r="306" spans="3:47" ht="16">
      <c r="C306" s="668" t="s">
        <v>172</v>
      </c>
      <c r="D306" s="283"/>
      <c r="E306" s="37"/>
      <c r="F306" s="37">
        <f t="shared" ref="F306:Q306" si="99">F304+F305</f>
        <v>0</v>
      </c>
      <c r="G306" s="37" t="e">
        <f t="shared" si="99"/>
        <v>#DIV/0!</v>
      </c>
      <c r="H306" s="37" t="e">
        <f t="shared" si="99"/>
        <v>#DIV/0!</v>
      </c>
      <c r="I306" s="37" t="e">
        <f t="shared" si="99"/>
        <v>#DIV/0!</v>
      </c>
      <c r="J306" s="37" t="e">
        <f t="shared" si="99"/>
        <v>#DIV/0!</v>
      </c>
      <c r="K306" s="37" t="e">
        <f t="shared" si="99"/>
        <v>#DIV/0!</v>
      </c>
      <c r="L306" s="37" t="e">
        <f t="shared" si="99"/>
        <v>#DIV/0!</v>
      </c>
      <c r="M306" s="37" t="e">
        <f t="shared" si="99"/>
        <v>#DIV/0!</v>
      </c>
      <c r="N306" s="37" t="e">
        <f t="shared" si="99"/>
        <v>#DIV/0!</v>
      </c>
      <c r="O306" s="37" t="e">
        <f t="shared" si="99"/>
        <v>#DIV/0!</v>
      </c>
      <c r="P306" s="37" t="e">
        <f t="shared" si="99"/>
        <v>#DIV/0!</v>
      </c>
      <c r="Q306" s="669" t="e">
        <f t="shared" si="99"/>
        <v>#DIV/0!</v>
      </c>
      <c r="R306" s="283"/>
      <c r="S306" s="283"/>
      <c r="T306" s="182"/>
      <c r="U306" s="182"/>
      <c r="V306" s="182"/>
      <c r="W306" s="182"/>
      <c r="X306" s="182"/>
      <c r="Y306" s="182"/>
      <c r="Z306" s="182"/>
      <c r="AA306" s="182"/>
      <c r="AB306" s="182"/>
      <c r="AC306" s="182"/>
      <c r="AD306" s="182"/>
      <c r="AE306" s="182"/>
      <c r="AF306" s="182"/>
      <c r="AG306" s="182"/>
      <c r="AH306" s="182"/>
      <c r="AI306" s="182"/>
      <c r="AJ306" s="182"/>
      <c r="AK306" s="182"/>
      <c r="AL306" s="182"/>
      <c r="AM306" s="182"/>
      <c r="AN306" s="182"/>
      <c r="AO306" s="182"/>
      <c r="AP306" s="182"/>
      <c r="AQ306" s="182"/>
      <c r="AR306" s="182"/>
      <c r="AS306" s="182"/>
      <c r="AT306" s="182"/>
      <c r="AU306" s="182"/>
    </row>
    <row r="307" spans="3:47" ht="16">
      <c r="C307" s="670" t="s">
        <v>188</v>
      </c>
      <c r="D307" s="330"/>
      <c r="E307" s="671"/>
      <c r="F307" s="671">
        <f t="shared" ref="F307:Q308" si="100">F304/F$302</f>
        <v>0</v>
      </c>
      <c r="G307" s="671" t="e">
        <f t="shared" si="100"/>
        <v>#DIV/0!</v>
      </c>
      <c r="H307" s="671" t="e">
        <f t="shared" si="100"/>
        <v>#DIV/0!</v>
      </c>
      <c r="I307" s="671" t="e">
        <f t="shared" si="100"/>
        <v>#DIV/0!</v>
      </c>
      <c r="J307" s="671" t="e">
        <f t="shared" si="100"/>
        <v>#DIV/0!</v>
      </c>
      <c r="K307" s="671" t="e">
        <f t="shared" si="100"/>
        <v>#DIV/0!</v>
      </c>
      <c r="L307" s="671" t="e">
        <f t="shared" si="100"/>
        <v>#DIV/0!</v>
      </c>
      <c r="M307" s="671" t="e">
        <f t="shared" si="100"/>
        <v>#DIV/0!</v>
      </c>
      <c r="N307" s="671" t="e">
        <f t="shared" si="100"/>
        <v>#DIV/0!</v>
      </c>
      <c r="O307" s="671" t="e">
        <f t="shared" si="100"/>
        <v>#DIV/0!</v>
      </c>
      <c r="P307" s="671" t="e">
        <f t="shared" si="100"/>
        <v>#DIV/0!</v>
      </c>
      <c r="Q307" s="672" t="e">
        <f t="shared" si="100"/>
        <v>#DIV/0!</v>
      </c>
      <c r="R307" s="330"/>
      <c r="S307" s="283"/>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c r="AR307" s="182"/>
      <c r="AS307" s="182"/>
      <c r="AT307" s="182"/>
      <c r="AU307" s="182"/>
    </row>
    <row r="308" spans="3:47" ht="21" customHeight="1">
      <c r="C308" s="670" t="s">
        <v>189</v>
      </c>
      <c r="D308" s="330"/>
      <c r="E308" s="671"/>
      <c r="F308" s="671">
        <f t="shared" si="100"/>
        <v>0</v>
      </c>
      <c r="G308" s="671">
        <f t="shared" si="100"/>
        <v>0</v>
      </c>
      <c r="H308" s="671">
        <f t="shared" si="100"/>
        <v>0</v>
      </c>
      <c r="I308" s="671">
        <f t="shared" si="100"/>
        <v>0</v>
      </c>
      <c r="J308" s="671">
        <f t="shared" si="100"/>
        <v>0</v>
      </c>
      <c r="K308" s="671">
        <f t="shared" si="100"/>
        <v>0</v>
      </c>
      <c r="L308" s="671">
        <f t="shared" si="100"/>
        <v>0</v>
      </c>
      <c r="M308" s="671">
        <f t="shared" si="100"/>
        <v>0</v>
      </c>
      <c r="N308" s="671">
        <f t="shared" si="100"/>
        <v>0</v>
      </c>
      <c r="O308" s="671">
        <f t="shared" si="100"/>
        <v>0</v>
      </c>
      <c r="P308" s="671">
        <f t="shared" si="100"/>
        <v>0</v>
      </c>
      <c r="Q308" s="672">
        <f t="shared" si="100"/>
        <v>0</v>
      </c>
      <c r="R308" s="330"/>
      <c r="S308" s="283"/>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c r="AP308" s="182"/>
      <c r="AQ308" s="182"/>
      <c r="AR308" s="182"/>
      <c r="AS308" s="182"/>
      <c r="AT308" s="182"/>
      <c r="AU308" s="182"/>
    </row>
    <row r="309" spans="3:47" ht="16">
      <c r="C309" s="673" t="s">
        <v>190</v>
      </c>
      <c r="D309" s="330"/>
      <c r="E309" s="674"/>
      <c r="F309" s="674">
        <f t="shared" ref="F309:Q309" si="101">F307+F308</f>
        <v>0</v>
      </c>
      <c r="G309" s="674" t="e">
        <f t="shared" si="101"/>
        <v>#DIV/0!</v>
      </c>
      <c r="H309" s="674" t="e">
        <f t="shared" si="101"/>
        <v>#DIV/0!</v>
      </c>
      <c r="I309" s="674" t="e">
        <f t="shared" si="101"/>
        <v>#DIV/0!</v>
      </c>
      <c r="J309" s="674" t="e">
        <f t="shared" si="101"/>
        <v>#DIV/0!</v>
      </c>
      <c r="K309" s="674" t="e">
        <f t="shared" si="101"/>
        <v>#DIV/0!</v>
      </c>
      <c r="L309" s="674" t="e">
        <f t="shared" si="101"/>
        <v>#DIV/0!</v>
      </c>
      <c r="M309" s="674" t="e">
        <f t="shared" si="101"/>
        <v>#DIV/0!</v>
      </c>
      <c r="N309" s="674" t="e">
        <f t="shared" si="101"/>
        <v>#DIV/0!</v>
      </c>
      <c r="O309" s="674" t="e">
        <f t="shared" si="101"/>
        <v>#DIV/0!</v>
      </c>
      <c r="P309" s="674" t="e">
        <f t="shared" si="101"/>
        <v>#DIV/0!</v>
      </c>
      <c r="Q309" s="675" t="e">
        <f t="shared" si="101"/>
        <v>#DIV/0!</v>
      </c>
      <c r="R309" s="330"/>
      <c r="S309" s="283"/>
      <c r="T309" s="182"/>
      <c r="U309" s="182"/>
      <c r="V309" s="182"/>
      <c r="W309" s="182"/>
      <c r="X309" s="182"/>
      <c r="Y309" s="182"/>
      <c r="Z309" s="182"/>
      <c r="AA309" s="182"/>
      <c r="AB309" s="182"/>
      <c r="AC309" s="182"/>
      <c r="AD309" s="182"/>
      <c r="AE309" s="182"/>
      <c r="AF309" s="182"/>
      <c r="AG309" s="182"/>
      <c r="AH309" s="182"/>
      <c r="AI309" s="182"/>
      <c r="AJ309" s="182"/>
      <c r="AK309" s="182"/>
      <c r="AL309" s="182"/>
      <c r="AM309" s="182"/>
      <c r="AN309" s="182"/>
      <c r="AO309" s="182"/>
      <c r="AP309" s="182"/>
      <c r="AQ309" s="182"/>
      <c r="AR309" s="182"/>
      <c r="AS309" s="182"/>
      <c r="AT309" s="182"/>
      <c r="AU309" s="182"/>
    </row>
    <row r="310" spans="3:47" ht="16">
      <c r="C310" s="664" t="s">
        <v>191</v>
      </c>
      <c r="D310" s="283"/>
      <c r="E310" s="283"/>
      <c r="F310" s="283">
        <f t="shared" ref="F310:Q311" si="102">SUM(F339,F368,F407,F457)</f>
        <v>0</v>
      </c>
      <c r="G310" s="283">
        <f t="shared" si="102"/>
        <v>0</v>
      </c>
      <c r="H310" s="283" t="e">
        <f t="shared" si="102"/>
        <v>#DIV/0!</v>
      </c>
      <c r="I310" s="283" t="e">
        <f t="shared" si="102"/>
        <v>#DIV/0!</v>
      </c>
      <c r="J310" s="283" t="e">
        <f t="shared" si="102"/>
        <v>#DIV/0!</v>
      </c>
      <c r="K310" s="283" t="e">
        <f t="shared" si="102"/>
        <v>#DIV/0!</v>
      </c>
      <c r="L310" s="283" t="e">
        <f t="shared" si="102"/>
        <v>#DIV/0!</v>
      </c>
      <c r="M310" s="283" t="e">
        <f t="shared" si="102"/>
        <v>#DIV/0!</v>
      </c>
      <c r="N310" s="283" t="e">
        <f t="shared" si="102"/>
        <v>#DIV/0!</v>
      </c>
      <c r="O310" s="283" t="e">
        <f t="shared" si="102"/>
        <v>#DIV/0!</v>
      </c>
      <c r="P310" s="283" t="e">
        <f t="shared" si="102"/>
        <v>#DIV/0!</v>
      </c>
      <c r="Q310" s="667" t="e">
        <f t="shared" si="102"/>
        <v>#DIV/0!</v>
      </c>
      <c r="R310" s="283"/>
      <c r="S310" s="283"/>
      <c r="T310" s="182"/>
      <c r="U310" s="182"/>
      <c r="V310" s="182"/>
      <c r="W310" s="182"/>
      <c r="X310" s="182"/>
      <c r="Y310" s="182"/>
      <c r="Z310" s="182"/>
      <c r="AA310" s="182"/>
      <c r="AB310" s="182"/>
      <c r="AC310" s="182"/>
      <c r="AD310" s="182"/>
      <c r="AE310" s="182"/>
      <c r="AF310" s="182"/>
      <c r="AG310" s="182"/>
      <c r="AH310" s="182"/>
      <c r="AI310" s="182"/>
      <c r="AJ310" s="182"/>
      <c r="AK310" s="182"/>
      <c r="AL310" s="182"/>
      <c r="AM310" s="182"/>
      <c r="AN310" s="182"/>
      <c r="AO310" s="182"/>
      <c r="AP310" s="182"/>
      <c r="AQ310" s="182"/>
      <c r="AR310" s="182"/>
      <c r="AS310" s="182"/>
      <c r="AT310" s="182"/>
      <c r="AU310" s="182"/>
    </row>
    <row r="311" spans="3:47" ht="16">
      <c r="C311" s="664" t="s">
        <v>192</v>
      </c>
      <c r="D311" s="283"/>
      <c r="E311" s="283"/>
      <c r="F311" s="283">
        <f t="shared" si="102"/>
        <v>0</v>
      </c>
      <c r="G311" s="283">
        <f t="shared" si="102"/>
        <v>0</v>
      </c>
      <c r="H311" s="283">
        <f t="shared" si="102"/>
        <v>0</v>
      </c>
      <c r="I311" s="283">
        <f t="shared" si="102"/>
        <v>0</v>
      </c>
      <c r="J311" s="283">
        <f t="shared" si="102"/>
        <v>0</v>
      </c>
      <c r="K311" s="283">
        <f t="shared" si="102"/>
        <v>0</v>
      </c>
      <c r="L311" s="283">
        <f t="shared" si="102"/>
        <v>0</v>
      </c>
      <c r="M311" s="283">
        <f t="shared" si="102"/>
        <v>0</v>
      </c>
      <c r="N311" s="283">
        <f t="shared" si="102"/>
        <v>0</v>
      </c>
      <c r="O311" s="283">
        <f t="shared" si="102"/>
        <v>0</v>
      </c>
      <c r="P311" s="283">
        <f t="shared" si="102"/>
        <v>0</v>
      </c>
      <c r="Q311" s="667">
        <f t="shared" si="102"/>
        <v>0</v>
      </c>
      <c r="R311" s="283"/>
      <c r="S311" s="283"/>
      <c r="T311" s="182"/>
      <c r="U311" s="182"/>
      <c r="V311" s="182"/>
      <c r="W311" s="182"/>
      <c r="X311" s="182"/>
      <c r="Y311" s="182"/>
      <c r="Z311" s="182"/>
      <c r="AA311" s="182"/>
      <c r="AB311" s="182"/>
      <c r="AC311" s="182"/>
      <c r="AD311" s="182"/>
      <c r="AE311" s="182"/>
      <c r="AF311" s="182"/>
      <c r="AG311" s="182"/>
      <c r="AH311" s="182"/>
      <c r="AI311" s="182"/>
      <c r="AJ311" s="182"/>
      <c r="AK311" s="182"/>
      <c r="AL311" s="182"/>
      <c r="AM311" s="182"/>
      <c r="AN311" s="182"/>
      <c r="AO311" s="182"/>
      <c r="AP311" s="182"/>
      <c r="AQ311" s="182"/>
      <c r="AR311" s="182"/>
      <c r="AS311" s="182"/>
      <c r="AT311" s="182"/>
      <c r="AU311" s="182"/>
    </row>
    <row r="312" spans="3:47" ht="16">
      <c r="C312" s="670" t="s">
        <v>193</v>
      </c>
      <c r="D312" s="331"/>
      <c r="E312" s="671"/>
      <c r="F312" s="671">
        <f>SUMIF($C$322:E$322,"&gt;"&amp;E301,$C$327:E$327)+SUMIF($C$346:E$346,"&gt;"&amp;E301,$C$351:E$351)+SUMIF($C$375:E$375,"&gt;"&amp;E301,$C$380:E$380)+SUMIF($C$415:E$415,"&gt;"&amp;E301,$C$420:E$420)</f>
        <v>0</v>
      </c>
      <c r="G312" s="671">
        <f>SUMIF($C$322:F$322,"&gt;"&amp;F301,$C$327:F$327)+SUMIF($C$346:F$346,"&gt;"&amp;F301,$C$351:F$351)+SUMIF($C$375:F$375,"&gt;"&amp;F301,$C$380:F$380)+SUMIF($C$415:F$415,"&gt;"&amp;F301,$C$420:F$420)</f>
        <v>0</v>
      </c>
      <c r="H312" s="671" t="e">
        <f>SUMIF($C$322:G$322,"&gt;"&amp;G301,$C$327:G$327)+SUMIF($C$346:G$346,"&gt;"&amp;G301,$C$351:G$351)+SUMIF($C$375:G$375,"&gt;"&amp;G301,$C$380:G$380)+SUMIF($C$415:G$415,"&gt;"&amp;G301,$C$420:G$420)</f>
        <v>#DIV/0!</v>
      </c>
      <c r="I312" s="671" t="e">
        <f>SUMIF($C$322:H$322,"&gt;"&amp;H301,$C$327:H$327)+SUMIF($C$346:H$346,"&gt;"&amp;H301,$C$351:H$351)+SUMIF($C$375:H$375,"&gt;"&amp;H301,$C$380:H$380)+SUMIF($C$415:H$415,"&gt;"&amp;H301,$C$420:H$420)</f>
        <v>#DIV/0!</v>
      </c>
      <c r="J312" s="671" t="e">
        <f>SUMIF($C$322:I$322,"&gt;"&amp;I301,$C$327:I$327)+SUMIF($C$346:I$346,"&gt;"&amp;I301,$C$351:I$351)+SUMIF($C$375:I$375,"&gt;"&amp;I301,$C$380:I$380)+SUMIF($C$415:I$415,"&gt;"&amp;I301,$C$420:I$420)</f>
        <v>#DIV/0!</v>
      </c>
      <c r="K312" s="671" t="e">
        <f>SUMIF($C$322:J$322,"&gt;"&amp;J301,$C$327:J$327)+SUMIF($C$346:J$346,"&gt;"&amp;J301,$C$351:J$351)+SUMIF($C$375:J$375,"&gt;"&amp;J301,$C$380:J$380)+SUMIF($C$415:J$415,"&gt;"&amp;J301,$C$420:J$420)</f>
        <v>#DIV/0!</v>
      </c>
      <c r="L312" s="671" t="e">
        <f>SUMIF($C$322:K$322,"&gt;"&amp;K301,$C$327:K$327)+SUMIF($C$346:K$346,"&gt;"&amp;K301,$C$351:K$351)+SUMIF($C$375:K$375,"&gt;"&amp;K301,$C$380:K$380)+SUMIF($C$415:K$415,"&gt;"&amp;K301,$C$420:K$420)</f>
        <v>#DIV/0!</v>
      </c>
      <c r="M312" s="671" t="e">
        <f>SUMIF($C$322:L$322,"&gt;"&amp;L301,$C$327:L$327)+SUMIF($C$346:L$346,"&gt;"&amp;L301,$C$351:L$351)+SUMIF($C$375:L$375,"&gt;"&amp;L301,$C$380:L$380)+SUMIF($C$415:L$415,"&gt;"&amp;L301,$C$420:L$420)</f>
        <v>#DIV/0!</v>
      </c>
      <c r="N312" s="671" t="e">
        <f>SUMIF($C$322:M$322,"&gt;"&amp;M301,$C$327:M$327)+SUMIF($C$346:M$346,"&gt;"&amp;M301,$C$351:M$351)+SUMIF($C$375:M$375,"&gt;"&amp;M301,$C$380:M$380)+SUMIF($C$415:M$415,"&gt;"&amp;M301,$C$420:M$420)</f>
        <v>#DIV/0!</v>
      </c>
      <c r="O312" s="671" t="e">
        <f>SUMIF($C$322:N$322,"&gt;"&amp;N301,$C$327:N$327)+SUMIF($C$346:N$346,"&gt;"&amp;N301,$C$351:N$351)+SUMIF($C$375:N$375,"&gt;"&amp;N301,$C$380:N$380)+SUMIF($C$415:N$415,"&gt;"&amp;N301,$C$420:N$420)</f>
        <v>#DIV/0!</v>
      </c>
      <c r="P312" s="671" t="e">
        <f>SUMIF($C$322:O$322,"&gt;"&amp;O301,$C$327:O$327)+SUMIF($C$346:O$346,"&gt;"&amp;O301,$C$351:O$351)+SUMIF($C$375:O$375,"&gt;"&amp;O301,$C$380:O$380)+SUMIF($C$415:O$415,"&gt;"&amp;O301,$C$420:O$420)</f>
        <v>#DIV/0!</v>
      </c>
      <c r="Q312" s="672" t="e">
        <f>SUMIF($C$322:P$322,"&gt;"&amp;P301,$C$327:P$327)+SUMIF($C$346:P$346,"&gt;"&amp;P301,$C$351:P$351)+SUMIF($C$375:P$375,"&gt;"&amp;P301,$C$380:P$380)+SUMIF($C$415:P$415,"&gt;"&amp;P301,$C$420:P$420)</f>
        <v>#DIV/0!</v>
      </c>
      <c r="R312" s="182"/>
      <c r="S312" s="182"/>
      <c r="T312" s="182"/>
      <c r="U312" s="182"/>
      <c r="V312" s="182"/>
      <c r="W312" s="182"/>
      <c r="X312" s="182"/>
      <c r="Y312" s="182"/>
      <c r="Z312" s="182"/>
      <c r="AA312" s="182"/>
      <c r="AB312" s="182"/>
      <c r="AC312" s="182"/>
      <c r="AD312" s="182"/>
      <c r="AE312" s="182"/>
      <c r="AF312" s="182"/>
      <c r="AG312" s="182"/>
      <c r="AH312" s="182"/>
      <c r="AI312" s="182"/>
      <c r="AJ312" s="182"/>
      <c r="AK312" s="182"/>
      <c r="AL312" s="182"/>
      <c r="AM312" s="182"/>
      <c r="AN312" s="182"/>
      <c r="AO312" s="182"/>
      <c r="AP312" s="182"/>
      <c r="AQ312" s="182"/>
      <c r="AR312" s="182"/>
      <c r="AS312" s="182"/>
      <c r="AT312" s="182"/>
      <c r="AU312" s="182"/>
    </row>
    <row r="313" spans="3:47" ht="16">
      <c r="C313" s="664" t="s">
        <v>194</v>
      </c>
      <c r="D313" s="676"/>
      <c r="E313" s="283"/>
      <c r="F313" s="283">
        <f>F312*(F302-E302)</f>
        <v>0</v>
      </c>
      <c r="G313" s="283">
        <f t="shared" ref="G313:Q313" si="103">G312*(G302-F302)</f>
        <v>0</v>
      </c>
      <c r="H313" s="283" t="e">
        <f t="shared" si="103"/>
        <v>#DIV/0!</v>
      </c>
      <c r="I313" s="283" t="e">
        <f t="shared" si="103"/>
        <v>#DIV/0!</v>
      </c>
      <c r="J313" s="283" t="e">
        <f t="shared" si="103"/>
        <v>#DIV/0!</v>
      </c>
      <c r="K313" s="283" t="e">
        <f t="shared" si="103"/>
        <v>#DIV/0!</v>
      </c>
      <c r="L313" s="283" t="e">
        <f t="shared" si="103"/>
        <v>#DIV/0!</v>
      </c>
      <c r="M313" s="283" t="e">
        <f t="shared" si="103"/>
        <v>#DIV/0!</v>
      </c>
      <c r="N313" s="283" t="e">
        <f t="shared" si="103"/>
        <v>#DIV/0!</v>
      </c>
      <c r="O313" s="283" t="e">
        <f t="shared" si="103"/>
        <v>#DIV/0!</v>
      </c>
      <c r="P313" s="283" t="e">
        <f t="shared" si="103"/>
        <v>#DIV/0!</v>
      </c>
      <c r="Q313" s="667" t="e">
        <f t="shared" si="103"/>
        <v>#DIV/0!</v>
      </c>
      <c r="R313" s="182"/>
      <c r="S313" s="182"/>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c r="AR313" s="182"/>
      <c r="AS313" s="182"/>
      <c r="AT313" s="182"/>
      <c r="AU313" s="182"/>
    </row>
    <row r="314" spans="3:47" ht="16">
      <c r="C314" s="670" t="s">
        <v>195</v>
      </c>
      <c r="D314" s="330"/>
      <c r="E314" s="671"/>
      <c r="F314" s="671">
        <f>SUMIF($C$322:E$322,"="&amp;F301,$C$327:E$327)+SUMIF($C$346:E$346,"="&amp;F301,$C$351:E$351)+SUMIF($C$375:E$375,"="&amp;F301,$C$380:E$380)+SUMIF($C$415:E$415,"="&amp;F301,$C$420:E$420)</f>
        <v>0</v>
      </c>
      <c r="G314" s="671">
        <f>SUMIF($C$322:F$322,"="&amp;G301,$C$327:F$327)+SUMIF($C$346:F$346,"="&amp;G301,$C$351:F$351)+SUMIF($C$375:F$375,"="&amp;G301,$C$380:F$380)+SUMIF($C$415:F$415,"="&amp;G301,$C$420:F$420)</f>
        <v>0</v>
      </c>
      <c r="H314" s="671">
        <f>SUMIF($C$322:G$322,"="&amp;H301,$C$327:G$327)+SUMIF($C$346:G$346,"="&amp;H301,$C$351:G$351)+SUMIF($C$375:G$375,"="&amp;H301,$C$380:G$380)+SUMIF($C$415:G$415,"="&amp;H301,$C$420:G$420)</f>
        <v>0</v>
      </c>
      <c r="I314" s="671">
        <f>SUMIF($C$322:H$322,"="&amp;I301,$C$327:H$327)+SUMIF($C$346:H$346,"="&amp;I301,$C$351:H$351)+SUMIF($C$375:H$375,"="&amp;I301,$C$380:H$380)+SUMIF($C$415:H$415,"="&amp;I301,$C$420:H$420)</f>
        <v>0</v>
      </c>
      <c r="J314" s="671">
        <f>SUMIF($C$322:I$322,"="&amp;J301,$C$327:I$327)+SUMIF($C$346:I$346,"="&amp;J301,$C$351:I$351)+SUMIF($C$375:I$375,"="&amp;J301,$C$380:I$380)+SUMIF($C$415:I$415,"="&amp;J301,$C$420:I$420)</f>
        <v>0</v>
      </c>
      <c r="K314" s="671">
        <f>SUMIF($C$322:J$322,"="&amp;K301,$C$327:J$327)+SUMIF($C$346:J$346,"="&amp;K301,$C$351:J$351)+SUMIF($C$375:J$375,"="&amp;K301,$C$380:J$380)+SUMIF($C$415:J$415,"="&amp;K301,$C$420:J$420)</f>
        <v>0</v>
      </c>
      <c r="L314" s="671" t="e">
        <f>SUMIF($C$322:K$322,"="&amp;L301,$C$327:K$327)+SUMIF($C$346:K$346,"="&amp;L301,$C$351:K$351)+SUMIF($C$375:K$375,"="&amp;L301,$C$380:K$380)+SUMIF($C$415:K$415,"="&amp;L301,$C$420:K$420)</f>
        <v>#DIV/0!</v>
      </c>
      <c r="M314" s="671" t="e">
        <f>SUMIF($C$322:L$322,"="&amp;M301,$C$327:L$327)+SUMIF($C$346:L$346,"="&amp;M301,$C$351:L$351)+SUMIF($C$375:L$375,"="&amp;M301,$C$380:L$380)+SUMIF($C$415:L$415,"="&amp;M301,$C$420:L$420)</f>
        <v>#DIV/0!</v>
      </c>
      <c r="N314" s="671" t="e">
        <f>SUMIF($C$322:M$322,"="&amp;N301,$C$327:M$327)+SUMIF($C$346:M$346,"="&amp;N301,$C$351:M$351)+SUMIF($C$375:M$375,"="&amp;N301,$C$380:M$380)+SUMIF($C$415:M$415,"="&amp;N301,$C$420:M$420)</f>
        <v>#DIV/0!</v>
      </c>
      <c r="O314" s="671" t="e">
        <f>SUMIF($C$322:N$322,"="&amp;O301,$C$327:N$327)+SUMIF($C$346:N$346,"="&amp;O301,$C$351:N$351)+SUMIF($C$375:N$375,"="&amp;O301,$C$380:N$380)+SUMIF($C$415:N$415,"="&amp;O301,$C$420:N$420)</f>
        <v>#DIV/0!</v>
      </c>
      <c r="P314" s="671" t="e">
        <f>SUMIF($C$322:O$322,"="&amp;P301,$C$327:O$327)+SUMIF($C$346:O$346,"="&amp;P301,$C$351:O$351)+SUMIF($C$375:O$375,"="&amp;P301,$C$380:O$380)+SUMIF($C$415:O$415,"="&amp;P301,$C$420:O$420)</f>
        <v>#DIV/0!</v>
      </c>
      <c r="Q314" s="672" t="e">
        <f>SUMIF($C$322:P$322,"="&amp;Q301,$C$327:P$327)+SUMIF($C$346:P$346,"="&amp;Q301,$C$351:P$351)+SUMIF($C$375:P$375,"="&amp;Q301,$C$380:P$380)+SUMIF($C$415:P$415,"="&amp;Q301,$C$420:P$420)</f>
        <v>#DIV/0!</v>
      </c>
      <c r="R314" s="324"/>
      <c r="S314" s="182"/>
      <c r="T314" s="182"/>
      <c r="U314" s="182"/>
      <c r="V314" s="182"/>
      <c r="W314" s="182"/>
      <c r="X314" s="182"/>
      <c r="Y314" s="182"/>
      <c r="Z314" s="182"/>
      <c r="AA314" s="182"/>
      <c r="AB314" s="182"/>
      <c r="AC314" s="182"/>
      <c r="AD314" s="182"/>
      <c r="AE314" s="182"/>
      <c r="AF314" s="182"/>
      <c r="AG314" s="182"/>
      <c r="AH314" s="182"/>
      <c r="AI314" s="182"/>
      <c r="AJ314" s="182"/>
      <c r="AK314" s="182"/>
      <c r="AL314" s="182"/>
      <c r="AM314" s="182"/>
      <c r="AN314" s="182"/>
      <c r="AO314" s="182"/>
      <c r="AP314" s="182"/>
      <c r="AQ314" s="182"/>
      <c r="AR314" s="182"/>
      <c r="AS314" s="182"/>
      <c r="AT314" s="182"/>
      <c r="AU314" s="182"/>
    </row>
    <row r="315" spans="3:47" ht="16">
      <c r="C315" s="664" t="s">
        <v>175</v>
      </c>
      <c r="D315" s="324"/>
      <c r="E315" s="324"/>
      <c r="F315" s="324">
        <f t="shared" ref="F315:Q315" si="104">F314*F302</f>
        <v>0</v>
      </c>
      <c r="G315" s="324">
        <f t="shared" si="104"/>
        <v>0</v>
      </c>
      <c r="H315" s="324">
        <f t="shared" si="104"/>
        <v>0</v>
      </c>
      <c r="I315" s="324">
        <f t="shared" si="104"/>
        <v>0</v>
      </c>
      <c r="J315" s="324">
        <f t="shared" si="104"/>
        <v>0</v>
      </c>
      <c r="K315" s="324">
        <f t="shared" si="104"/>
        <v>0</v>
      </c>
      <c r="L315" s="324" t="e">
        <f t="shared" si="104"/>
        <v>#DIV/0!</v>
      </c>
      <c r="M315" s="324" t="e">
        <f t="shared" si="104"/>
        <v>#DIV/0!</v>
      </c>
      <c r="N315" s="324" t="e">
        <f t="shared" si="104"/>
        <v>#DIV/0!</v>
      </c>
      <c r="O315" s="324" t="e">
        <f t="shared" si="104"/>
        <v>#DIV/0!</v>
      </c>
      <c r="P315" s="324" t="e">
        <f t="shared" si="104"/>
        <v>#DIV/0!</v>
      </c>
      <c r="Q315" s="677" t="e">
        <f t="shared" si="104"/>
        <v>#DIV/0!</v>
      </c>
      <c r="R315" s="182"/>
      <c r="S315" s="182"/>
      <c r="T315" s="182"/>
      <c r="U315" s="182"/>
      <c r="V315" s="182"/>
      <c r="W315" s="182"/>
      <c r="X315" s="182"/>
      <c r="Y315" s="182"/>
      <c r="Z315" s="182"/>
      <c r="AA315" s="182"/>
      <c r="AB315" s="182"/>
      <c r="AC315" s="182"/>
      <c r="AD315" s="182"/>
      <c r="AE315" s="182"/>
      <c r="AF315" s="182"/>
      <c r="AG315" s="182"/>
      <c r="AH315" s="182"/>
      <c r="AI315" s="182"/>
      <c r="AJ315" s="182"/>
      <c r="AK315" s="182"/>
      <c r="AL315" s="182"/>
      <c r="AM315" s="182"/>
      <c r="AN315" s="182"/>
      <c r="AO315" s="182"/>
      <c r="AP315" s="182"/>
      <c r="AQ315" s="182"/>
      <c r="AR315" s="182"/>
      <c r="AS315" s="182"/>
      <c r="AT315" s="182"/>
      <c r="AU315" s="182"/>
    </row>
    <row r="316" spans="3:47" ht="16">
      <c r="C316" s="664" t="s">
        <v>196</v>
      </c>
      <c r="D316" s="283"/>
      <c r="E316" s="283"/>
      <c r="F316" s="283">
        <f t="shared" ref="F316:Q316" si="105">SUM(F330,F354,F383,F423)</f>
        <v>0</v>
      </c>
      <c r="G316" s="283" t="e">
        <f t="shared" si="105"/>
        <v>#DIV/0!</v>
      </c>
      <c r="H316" s="283" t="e">
        <f t="shared" si="105"/>
        <v>#DIV/0!</v>
      </c>
      <c r="I316" s="283" t="e">
        <f t="shared" si="105"/>
        <v>#DIV/0!</v>
      </c>
      <c r="J316" s="283" t="e">
        <f t="shared" si="105"/>
        <v>#DIV/0!</v>
      </c>
      <c r="K316" s="283" t="e">
        <f t="shared" si="105"/>
        <v>#DIV/0!</v>
      </c>
      <c r="L316" s="283" t="e">
        <f t="shared" si="105"/>
        <v>#DIV/0!</v>
      </c>
      <c r="M316" s="283" t="e">
        <f t="shared" si="105"/>
        <v>#DIV/0!</v>
      </c>
      <c r="N316" s="283" t="e">
        <f t="shared" si="105"/>
        <v>#DIV/0!</v>
      </c>
      <c r="O316" s="283" t="e">
        <f t="shared" si="105"/>
        <v>#DIV/0!</v>
      </c>
      <c r="P316" s="283" t="e">
        <f t="shared" si="105"/>
        <v>#DIV/0!</v>
      </c>
      <c r="Q316" s="667" t="e">
        <f t="shared" si="105"/>
        <v>#DIV/0!</v>
      </c>
      <c r="R316" s="283"/>
      <c r="S316" s="283"/>
      <c r="T316" s="182"/>
      <c r="U316" s="182"/>
      <c r="V316" s="182"/>
      <c r="W316" s="182"/>
      <c r="X316" s="182"/>
      <c r="Y316" s="182"/>
      <c r="Z316" s="182"/>
      <c r="AA316" s="182"/>
      <c r="AB316" s="182"/>
      <c r="AC316" s="182"/>
      <c r="AD316" s="182"/>
      <c r="AE316" s="182"/>
      <c r="AF316" s="182"/>
      <c r="AG316" s="182"/>
      <c r="AH316" s="182"/>
      <c r="AI316" s="182"/>
      <c r="AJ316" s="182"/>
      <c r="AK316" s="182"/>
      <c r="AL316" s="182"/>
      <c r="AM316" s="182"/>
      <c r="AN316" s="182"/>
      <c r="AO316" s="182"/>
      <c r="AP316" s="182"/>
      <c r="AQ316" s="182"/>
      <c r="AR316" s="182"/>
      <c r="AS316" s="182"/>
      <c r="AT316" s="182"/>
      <c r="AU316" s="182"/>
    </row>
    <row r="317" spans="3:47">
      <c r="C317" s="664"/>
      <c r="D317" s="182"/>
      <c r="E317" s="182"/>
      <c r="F317" s="182"/>
      <c r="G317" s="182"/>
      <c r="H317" s="182"/>
      <c r="I317" s="182"/>
      <c r="J317" s="182"/>
      <c r="K317" s="182"/>
      <c r="L317" s="182"/>
      <c r="M317" s="182"/>
      <c r="N317" s="182"/>
      <c r="O317" s="182"/>
      <c r="P317" s="182"/>
      <c r="Q317" s="678"/>
      <c r="R317" s="182"/>
      <c r="S317" s="182"/>
      <c r="T317" s="182"/>
      <c r="U317" s="182"/>
      <c r="V317" s="182"/>
      <c r="W317" s="182"/>
      <c r="X317" s="182"/>
      <c r="Y317" s="182"/>
      <c r="Z317" s="182"/>
      <c r="AA317" s="182"/>
      <c r="AB317" s="182"/>
      <c r="AC317" s="182"/>
      <c r="AD317" s="182"/>
      <c r="AE317" s="182"/>
      <c r="AF317" s="182"/>
      <c r="AG317" s="182"/>
      <c r="AH317" s="182"/>
      <c r="AI317" s="182"/>
      <c r="AJ317" s="182"/>
      <c r="AK317" s="182"/>
      <c r="AL317" s="182"/>
      <c r="AM317" s="182"/>
      <c r="AN317" s="182"/>
      <c r="AO317" s="182"/>
      <c r="AP317" s="182"/>
      <c r="AQ317" s="182"/>
      <c r="AR317" s="182"/>
      <c r="AS317" s="182"/>
      <c r="AT317" s="182"/>
      <c r="AU317" s="182"/>
    </row>
    <row r="318" spans="3:47">
      <c r="C318" s="679">
        <v>5</v>
      </c>
      <c r="D318" s="322">
        <v>2022</v>
      </c>
      <c r="E318" s="322">
        <v>2023</v>
      </c>
      <c r="F318" s="322">
        <v>2024</v>
      </c>
      <c r="G318" s="322">
        <v>2025</v>
      </c>
      <c r="H318" s="322">
        <v>2026</v>
      </c>
      <c r="I318" s="322">
        <v>2027</v>
      </c>
      <c r="J318" s="322">
        <v>2028</v>
      </c>
      <c r="K318" s="322">
        <v>2029</v>
      </c>
      <c r="L318" s="322">
        <v>2030</v>
      </c>
      <c r="M318" s="322">
        <v>2031</v>
      </c>
      <c r="N318" s="322">
        <v>2032</v>
      </c>
      <c r="O318" s="322">
        <v>2033</v>
      </c>
      <c r="P318" s="322">
        <v>2034</v>
      </c>
      <c r="Q318" s="680">
        <v>2035</v>
      </c>
      <c r="R318" s="182"/>
      <c r="S318" s="182"/>
      <c r="T318" s="182"/>
      <c r="U318" s="182"/>
      <c r="V318" s="182"/>
      <c r="W318" s="182"/>
      <c r="X318" s="182"/>
      <c r="Y318" s="182"/>
      <c r="Z318" s="182"/>
      <c r="AA318" s="182"/>
      <c r="AB318" s="182"/>
      <c r="AC318" s="182"/>
      <c r="AD318" s="182"/>
      <c r="AE318" s="182"/>
      <c r="AF318" s="182"/>
      <c r="AG318" s="182"/>
      <c r="AH318" s="182"/>
      <c r="AI318" s="182"/>
      <c r="AJ318" s="182"/>
      <c r="AK318" s="182"/>
      <c r="AL318" s="182"/>
      <c r="AM318" s="182"/>
      <c r="AN318" s="182"/>
      <c r="AO318" s="182"/>
      <c r="AP318" s="182"/>
      <c r="AQ318" s="182"/>
      <c r="AR318" s="182"/>
      <c r="AS318" s="182"/>
      <c r="AT318" s="182"/>
      <c r="AU318" s="182"/>
    </row>
    <row r="319" spans="3:47" ht="16">
      <c r="C319" s="664" t="s">
        <v>177</v>
      </c>
      <c r="D319" s="291"/>
      <c r="E319" s="291"/>
      <c r="F319" s="291">
        <f>'Deuda a emitir'!F51</f>
        <v>0</v>
      </c>
      <c r="G319" s="291">
        <f>'Deuda a emitir'!G51</f>
        <v>0</v>
      </c>
      <c r="H319" s="291">
        <f>'Deuda a emitir'!H51</f>
        <v>0</v>
      </c>
      <c r="I319" s="291">
        <f>'Deuda a emitir'!I51</f>
        <v>0</v>
      </c>
      <c r="J319" s="291">
        <f>'Deuda a emitir'!J51</f>
        <v>0</v>
      </c>
      <c r="K319" s="291">
        <f>'Deuda a emitir'!K51</f>
        <v>0</v>
      </c>
      <c r="L319" s="291">
        <f>'Deuda a emitir'!L51</f>
        <v>0</v>
      </c>
      <c r="M319" s="291">
        <f>'Deuda a emitir'!M51</f>
        <v>0</v>
      </c>
      <c r="N319" s="291">
        <f>'Deuda a emitir'!N51</f>
        <v>0</v>
      </c>
      <c r="O319" s="291">
        <f>'Deuda a emitir'!O51</f>
        <v>0</v>
      </c>
      <c r="P319" s="291">
        <f>'Deuda a emitir'!P51</f>
        <v>0</v>
      </c>
      <c r="Q319" s="666">
        <f>'Deuda a emitir'!Q51</f>
        <v>0</v>
      </c>
      <c r="R319" s="182"/>
      <c r="S319" s="182"/>
      <c r="T319" s="182"/>
      <c r="U319" s="182"/>
      <c r="V319" s="182"/>
      <c r="W319" s="182"/>
      <c r="X319" s="182"/>
      <c r="Y319" s="182"/>
      <c r="Z319" s="182"/>
      <c r="AA319" s="182"/>
      <c r="AB319" s="182"/>
      <c r="AC319" s="182"/>
      <c r="AD319" s="182"/>
      <c r="AE319" s="182"/>
      <c r="AF319" s="182"/>
      <c r="AG319" s="182"/>
      <c r="AH319" s="182"/>
      <c r="AI319" s="182"/>
      <c r="AJ319" s="182"/>
      <c r="AK319" s="182"/>
      <c r="AL319" s="182"/>
      <c r="AM319" s="182"/>
      <c r="AN319" s="182"/>
      <c r="AO319" s="182"/>
      <c r="AP319" s="182"/>
      <c r="AQ319" s="182"/>
      <c r="AR319" s="182"/>
      <c r="AS319" s="182"/>
      <c r="AT319" s="182"/>
      <c r="AU319" s="182"/>
    </row>
    <row r="320" spans="3:47" ht="16">
      <c r="C320" s="664" t="s">
        <v>178</v>
      </c>
      <c r="D320" s="291"/>
      <c r="E320" s="291"/>
      <c r="F320" s="291">
        <f>'Deuda a emitir'!F52</f>
        <v>0</v>
      </c>
      <c r="G320" s="291">
        <f>'Deuda a emitir'!G52</f>
        <v>0</v>
      </c>
      <c r="H320" s="291">
        <f>'Deuda a emitir'!H52</f>
        <v>0</v>
      </c>
      <c r="I320" s="291">
        <f>'Deuda a emitir'!I52</f>
        <v>0</v>
      </c>
      <c r="J320" s="291">
        <f>'Deuda a emitir'!J52</f>
        <v>0</v>
      </c>
      <c r="K320" s="291">
        <f>'Deuda a emitir'!K52</f>
        <v>0</v>
      </c>
      <c r="L320" s="291">
        <f>'Deuda a emitir'!L52</f>
        <v>0</v>
      </c>
      <c r="M320" s="291">
        <f>'Deuda a emitir'!M52</f>
        <v>0</v>
      </c>
      <c r="N320" s="291">
        <f>'Deuda a emitir'!N52</f>
        <v>0</v>
      </c>
      <c r="O320" s="291">
        <f>'Deuda a emitir'!O52</f>
        <v>0</v>
      </c>
      <c r="P320" s="291">
        <f>'Deuda a emitir'!P52</f>
        <v>0</v>
      </c>
      <c r="Q320" s="666">
        <f>'Deuda a emitir'!Q52</f>
        <v>0</v>
      </c>
      <c r="R320" s="279"/>
      <c r="S320" s="279"/>
      <c r="T320" s="182"/>
      <c r="U320" s="182"/>
      <c r="V320" s="182"/>
      <c r="W320" s="182"/>
      <c r="X320" s="182"/>
      <c r="Y320" s="182"/>
      <c r="Z320" s="182"/>
      <c r="AA320" s="182"/>
      <c r="AB320" s="182"/>
      <c r="AC320" s="182"/>
      <c r="AD320" s="182"/>
      <c r="AE320" s="182"/>
      <c r="AF320" s="182"/>
      <c r="AG320" s="182"/>
      <c r="AH320" s="182"/>
      <c r="AI320" s="182"/>
      <c r="AJ320" s="182"/>
      <c r="AK320" s="182"/>
      <c r="AL320" s="182"/>
      <c r="AM320" s="182"/>
      <c r="AN320" s="182"/>
      <c r="AO320" s="182"/>
      <c r="AP320" s="182"/>
      <c r="AQ320" s="182"/>
      <c r="AR320" s="182"/>
      <c r="AS320" s="182"/>
      <c r="AT320" s="182"/>
      <c r="AU320" s="182"/>
    </row>
    <row r="321" spans="3:47" ht="16">
      <c r="C321" s="664" t="s">
        <v>179</v>
      </c>
      <c r="D321" s="328"/>
      <c r="E321" s="328"/>
      <c r="F321" s="328">
        <f>'Deuda a emitir'!F53</f>
        <v>5</v>
      </c>
      <c r="G321" s="328">
        <f>'Deuda a emitir'!G53</f>
        <v>5</v>
      </c>
      <c r="H321" s="328">
        <f>'Deuda a emitir'!H53</f>
        <v>5</v>
      </c>
      <c r="I321" s="328">
        <f>'Deuda a emitir'!I53</f>
        <v>5</v>
      </c>
      <c r="J321" s="328">
        <f>'Deuda a emitir'!J53</f>
        <v>5</v>
      </c>
      <c r="K321" s="328">
        <f>'Deuda a emitir'!K53</f>
        <v>5</v>
      </c>
      <c r="L321" s="328">
        <f>'Deuda a emitir'!L53</f>
        <v>5</v>
      </c>
      <c r="M321" s="328">
        <f>'Deuda a emitir'!M53</f>
        <v>5</v>
      </c>
      <c r="N321" s="328">
        <f>'Deuda a emitir'!N53</f>
        <v>5</v>
      </c>
      <c r="O321" s="328">
        <f>'Deuda a emitir'!O53</f>
        <v>5</v>
      </c>
      <c r="P321" s="328">
        <f>'Deuda a emitir'!P53</f>
        <v>5</v>
      </c>
      <c r="Q321" s="681">
        <f>'Deuda a emitir'!Q53</f>
        <v>5</v>
      </c>
      <c r="R321" s="327"/>
      <c r="S321" s="327"/>
      <c r="T321" s="182"/>
      <c r="U321" s="182"/>
      <c r="V321" s="182"/>
      <c r="W321" s="182"/>
      <c r="X321" s="182"/>
      <c r="Y321" s="182"/>
      <c r="Z321" s="182"/>
      <c r="AA321" s="182"/>
      <c r="AB321" s="182"/>
      <c r="AC321" s="182"/>
      <c r="AD321" s="182"/>
      <c r="AE321" s="182"/>
      <c r="AF321" s="182"/>
      <c r="AG321" s="182"/>
      <c r="AH321" s="182"/>
      <c r="AI321" s="182"/>
      <c r="AJ321" s="182"/>
      <c r="AK321" s="182"/>
      <c r="AL321" s="182"/>
      <c r="AM321" s="182"/>
      <c r="AN321" s="182"/>
      <c r="AO321" s="182"/>
      <c r="AP321" s="182"/>
      <c r="AQ321" s="182"/>
      <c r="AR321" s="182"/>
      <c r="AS321" s="182"/>
      <c r="AT321" s="182"/>
      <c r="AU321" s="182"/>
    </row>
    <row r="322" spans="3:47" ht="16">
      <c r="C322" s="664" t="s">
        <v>72</v>
      </c>
      <c r="D322" s="328"/>
      <c r="E322" s="328"/>
      <c r="F322" s="328">
        <f t="shared" ref="F322:Q322" si="106">F318+F321</f>
        <v>2029</v>
      </c>
      <c r="G322" s="328">
        <f t="shared" si="106"/>
        <v>2030</v>
      </c>
      <c r="H322" s="328">
        <f t="shared" si="106"/>
        <v>2031</v>
      </c>
      <c r="I322" s="328">
        <f t="shared" si="106"/>
        <v>2032</v>
      </c>
      <c r="J322" s="328">
        <f t="shared" si="106"/>
        <v>2033</v>
      </c>
      <c r="K322" s="328">
        <f t="shared" si="106"/>
        <v>2034</v>
      </c>
      <c r="L322" s="328">
        <f t="shared" si="106"/>
        <v>2035</v>
      </c>
      <c r="M322" s="328">
        <f t="shared" si="106"/>
        <v>2036</v>
      </c>
      <c r="N322" s="328">
        <f t="shared" si="106"/>
        <v>2037</v>
      </c>
      <c r="O322" s="328">
        <f t="shared" si="106"/>
        <v>2038</v>
      </c>
      <c r="P322" s="328">
        <f t="shared" si="106"/>
        <v>2039</v>
      </c>
      <c r="Q322" s="681">
        <f t="shared" si="106"/>
        <v>2040</v>
      </c>
      <c r="R322" s="327"/>
      <c r="S322" s="327"/>
      <c r="T322" s="182"/>
      <c r="U322" s="182"/>
      <c r="V322" s="182"/>
      <c r="W322" s="182"/>
      <c r="X322" s="182"/>
      <c r="Y322" s="182"/>
      <c r="Z322" s="182"/>
      <c r="AA322" s="182"/>
      <c r="AB322" s="182"/>
      <c r="AC322" s="182"/>
      <c r="AD322" s="182"/>
      <c r="AE322" s="182"/>
      <c r="AF322" s="182"/>
      <c r="AG322" s="182"/>
      <c r="AH322" s="182"/>
      <c r="AI322" s="182"/>
      <c r="AJ322" s="182"/>
      <c r="AK322" s="182"/>
      <c r="AL322" s="182"/>
      <c r="AM322" s="182"/>
      <c r="AN322" s="182"/>
      <c r="AO322" s="182"/>
      <c r="AP322" s="182"/>
      <c r="AQ322" s="182"/>
      <c r="AR322" s="182"/>
      <c r="AS322" s="182"/>
      <c r="AT322" s="182"/>
      <c r="AU322" s="182"/>
    </row>
    <row r="323" spans="3:47" ht="16">
      <c r="C323" s="664" t="s">
        <v>180</v>
      </c>
      <c r="D323" s="291"/>
      <c r="E323" s="291"/>
      <c r="F323" s="291">
        <f>'Deuda a emitir'!F46</f>
        <v>0</v>
      </c>
      <c r="G323" s="291">
        <f>'Deuda a emitir'!G46</f>
        <v>0</v>
      </c>
      <c r="H323" s="291">
        <f>'Deuda a emitir'!H46</f>
        <v>0</v>
      </c>
      <c r="I323" s="291">
        <f>'Deuda a emitir'!I46</f>
        <v>0</v>
      </c>
      <c r="J323" s="291">
        <f>'Deuda a emitir'!J46</f>
        <v>0</v>
      </c>
      <c r="K323" s="291">
        <f>'Deuda a emitir'!K46</f>
        <v>0</v>
      </c>
      <c r="L323" s="291">
        <f>'Deuda a emitir'!L46</f>
        <v>0</v>
      </c>
      <c r="M323" s="291">
        <f>'Deuda a emitir'!M46</f>
        <v>0</v>
      </c>
      <c r="N323" s="291">
        <f>'Deuda a emitir'!N46</f>
        <v>0</v>
      </c>
      <c r="O323" s="291">
        <f>'Deuda a emitir'!O46</f>
        <v>0</v>
      </c>
      <c r="P323" s="291">
        <f>'Deuda a emitir'!P46</f>
        <v>0</v>
      </c>
      <c r="Q323" s="666">
        <f>'Deuda a emitir'!Q46</f>
        <v>0</v>
      </c>
      <c r="R323" s="279"/>
      <c r="S323" s="279"/>
      <c r="T323" s="182"/>
      <c r="U323" s="182"/>
      <c r="V323" s="182"/>
      <c r="W323" s="182"/>
      <c r="X323" s="182"/>
      <c r="Y323" s="182"/>
      <c r="Z323" s="182"/>
      <c r="AA323" s="182"/>
      <c r="AB323" s="182"/>
      <c r="AC323" s="182"/>
      <c r="AD323" s="182"/>
      <c r="AE323" s="182"/>
      <c r="AF323" s="182"/>
      <c r="AG323" s="182"/>
      <c r="AH323" s="182"/>
      <c r="AI323" s="182"/>
      <c r="AJ323" s="182"/>
      <c r="AK323" s="182"/>
      <c r="AL323" s="182"/>
      <c r="AM323" s="182"/>
      <c r="AN323" s="182"/>
      <c r="AO323" s="182"/>
      <c r="AP323" s="182"/>
      <c r="AQ323" s="182"/>
      <c r="AR323" s="182"/>
      <c r="AS323" s="182"/>
      <c r="AT323" s="182"/>
      <c r="AU323" s="182"/>
    </row>
    <row r="324" spans="3:47" ht="32">
      <c r="C324" s="664" t="s">
        <v>187</v>
      </c>
      <c r="D324" s="283"/>
      <c r="E324" s="283"/>
      <c r="F324" s="283">
        <f t="shared" ref="F324:Q324" si="107">F$304*F323</f>
        <v>0</v>
      </c>
      <c r="G324" s="283" t="e">
        <f t="shared" si="107"/>
        <v>#DIV/0!</v>
      </c>
      <c r="H324" s="283" t="e">
        <f t="shared" si="107"/>
        <v>#DIV/0!</v>
      </c>
      <c r="I324" s="283" t="e">
        <f t="shared" si="107"/>
        <v>#DIV/0!</v>
      </c>
      <c r="J324" s="283" t="e">
        <f t="shared" si="107"/>
        <v>#DIV/0!</v>
      </c>
      <c r="K324" s="283" t="e">
        <f t="shared" si="107"/>
        <v>#DIV/0!</v>
      </c>
      <c r="L324" s="283" t="e">
        <f t="shared" si="107"/>
        <v>#DIV/0!</v>
      </c>
      <c r="M324" s="283" t="e">
        <f t="shared" si="107"/>
        <v>#DIV/0!</v>
      </c>
      <c r="N324" s="283" t="e">
        <f t="shared" si="107"/>
        <v>#DIV/0!</v>
      </c>
      <c r="O324" s="283" t="e">
        <f t="shared" si="107"/>
        <v>#DIV/0!</v>
      </c>
      <c r="P324" s="283" t="e">
        <f t="shared" si="107"/>
        <v>#DIV/0!</v>
      </c>
      <c r="Q324" s="667" t="e">
        <f t="shared" si="107"/>
        <v>#DIV/0!</v>
      </c>
      <c r="R324" s="283"/>
      <c r="S324" s="283"/>
      <c r="T324" s="182"/>
      <c r="U324" s="182"/>
      <c r="V324" s="182"/>
      <c r="W324" s="182"/>
      <c r="X324" s="182"/>
      <c r="Y324" s="182"/>
      <c r="Z324" s="182"/>
      <c r="AA324" s="182"/>
      <c r="AB324" s="182"/>
      <c r="AC324" s="182"/>
      <c r="AD324" s="182"/>
      <c r="AE324" s="182"/>
      <c r="AF324" s="182"/>
      <c r="AG324" s="182"/>
      <c r="AH324" s="182"/>
      <c r="AI324" s="182"/>
      <c r="AJ324" s="182"/>
      <c r="AK324" s="182"/>
      <c r="AL324" s="182"/>
      <c r="AM324" s="182"/>
      <c r="AN324" s="182"/>
      <c r="AO324" s="182"/>
      <c r="AP324" s="182"/>
      <c r="AQ324" s="182"/>
      <c r="AR324" s="182"/>
      <c r="AS324" s="182"/>
      <c r="AT324" s="182"/>
      <c r="AU324" s="182"/>
    </row>
    <row r="325" spans="3:47" ht="32">
      <c r="C325" s="664" t="s">
        <v>171</v>
      </c>
      <c r="D325" s="283"/>
      <c r="E325" s="283"/>
      <c r="F325" s="283">
        <f t="shared" ref="F325:Q325" si="108">F$305*F323</f>
        <v>0</v>
      </c>
      <c r="G325" s="283">
        <f t="shared" si="108"/>
        <v>0</v>
      </c>
      <c r="H325" s="283">
        <f t="shared" si="108"/>
        <v>0</v>
      </c>
      <c r="I325" s="283">
        <f t="shared" si="108"/>
        <v>0</v>
      </c>
      <c r="J325" s="283">
        <f t="shared" si="108"/>
        <v>0</v>
      </c>
      <c r="K325" s="283">
        <f t="shared" si="108"/>
        <v>0</v>
      </c>
      <c r="L325" s="283">
        <f t="shared" si="108"/>
        <v>0</v>
      </c>
      <c r="M325" s="283">
        <f t="shared" si="108"/>
        <v>0</v>
      </c>
      <c r="N325" s="283">
        <f t="shared" si="108"/>
        <v>0</v>
      </c>
      <c r="O325" s="283">
        <f t="shared" si="108"/>
        <v>0</v>
      </c>
      <c r="P325" s="283">
        <f t="shared" si="108"/>
        <v>0</v>
      </c>
      <c r="Q325" s="667">
        <f t="shared" si="108"/>
        <v>0</v>
      </c>
      <c r="R325" s="283"/>
      <c r="S325" s="283"/>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c r="AR325" s="182"/>
      <c r="AS325" s="182"/>
      <c r="AT325" s="182"/>
      <c r="AU325" s="182"/>
    </row>
    <row r="326" spans="3:47" ht="16">
      <c r="C326" s="668" t="s">
        <v>197</v>
      </c>
      <c r="D326" s="288"/>
      <c r="E326" s="37"/>
      <c r="F326" s="37">
        <f>SUM(F324:F325)</f>
        <v>0</v>
      </c>
      <c r="G326" s="37" t="e">
        <f t="shared" ref="G326:Q326" si="109">SUM(G324:G325)</f>
        <v>#DIV/0!</v>
      </c>
      <c r="H326" s="37" t="e">
        <f t="shared" si="109"/>
        <v>#DIV/0!</v>
      </c>
      <c r="I326" s="37" t="e">
        <f t="shared" si="109"/>
        <v>#DIV/0!</v>
      </c>
      <c r="J326" s="37" t="e">
        <f t="shared" si="109"/>
        <v>#DIV/0!</v>
      </c>
      <c r="K326" s="37" t="e">
        <f t="shared" si="109"/>
        <v>#DIV/0!</v>
      </c>
      <c r="L326" s="37" t="e">
        <f t="shared" si="109"/>
        <v>#DIV/0!</v>
      </c>
      <c r="M326" s="37" t="e">
        <f t="shared" si="109"/>
        <v>#DIV/0!</v>
      </c>
      <c r="N326" s="37" t="e">
        <f t="shared" si="109"/>
        <v>#DIV/0!</v>
      </c>
      <c r="O326" s="37" t="e">
        <f t="shared" si="109"/>
        <v>#DIV/0!</v>
      </c>
      <c r="P326" s="37" t="e">
        <f t="shared" si="109"/>
        <v>#DIV/0!</v>
      </c>
      <c r="Q326" s="669" t="e">
        <f t="shared" si="109"/>
        <v>#DIV/0!</v>
      </c>
      <c r="R326" s="37"/>
      <c r="S326" s="37"/>
      <c r="T326" s="244"/>
      <c r="U326" s="244"/>
      <c r="V326" s="244"/>
      <c r="W326" s="244"/>
      <c r="X326" s="244"/>
      <c r="Y326" s="244"/>
      <c r="Z326" s="244"/>
      <c r="AA326" s="244"/>
      <c r="AB326" s="244"/>
      <c r="AC326" s="244"/>
      <c r="AD326" s="244"/>
      <c r="AE326" s="244"/>
      <c r="AF326" s="244"/>
      <c r="AG326" s="244"/>
      <c r="AH326" s="244"/>
      <c r="AI326" s="244"/>
      <c r="AJ326" s="244"/>
      <c r="AK326" s="244"/>
      <c r="AL326" s="244"/>
      <c r="AM326" s="244"/>
      <c r="AN326" s="244"/>
      <c r="AO326" s="244"/>
      <c r="AP326" s="244"/>
      <c r="AQ326" s="244"/>
      <c r="AR326" s="244"/>
      <c r="AS326" s="244"/>
      <c r="AT326" s="244"/>
      <c r="AU326" s="244"/>
    </row>
    <row r="327" spans="3:47" ht="16">
      <c r="C327" s="670" t="s">
        <v>198</v>
      </c>
      <c r="D327" s="330"/>
      <c r="E327" s="330"/>
      <c r="F327" s="330">
        <f t="shared" ref="F327:Q327" si="110">(F326/F$302)</f>
        <v>0</v>
      </c>
      <c r="G327" s="330" t="e">
        <f t="shared" si="110"/>
        <v>#DIV/0!</v>
      </c>
      <c r="H327" s="330" t="e">
        <f t="shared" si="110"/>
        <v>#DIV/0!</v>
      </c>
      <c r="I327" s="330" t="e">
        <f t="shared" si="110"/>
        <v>#DIV/0!</v>
      </c>
      <c r="J327" s="330" t="e">
        <f t="shared" si="110"/>
        <v>#DIV/0!</v>
      </c>
      <c r="K327" s="330" t="e">
        <f t="shared" si="110"/>
        <v>#DIV/0!</v>
      </c>
      <c r="L327" s="330" t="e">
        <f t="shared" si="110"/>
        <v>#DIV/0!</v>
      </c>
      <c r="M327" s="330" t="e">
        <f t="shared" si="110"/>
        <v>#DIV/0!</v>
      </c>
      <c r="N327" s="330" t="e">
        <f t="shared" si="110"/>
        <v>#DIV/0!</v>
      </c>
      <c r="O327" s="330" t="e">
        <f t="shared" si="110"/>
        <v>#DIV/0!</v>
      </c>
      <c r="P327" s="330" t="e">
        <f t="shared" si="110"/>
        <v>#DIV/0!</v>
      </c>
      <c r="Q327" s="682" t="e">
        <f t="shared" si="110"/>
        <v>#DIV/0!</v>
      </c>
      <c r="R327" s="283"/>
      <c r="S327" s="283"/>
      <c r="T327" s="182"/>
      <c r="U327" s="182"/>
      <c r="V327" s="182"/>
      <c r="W327" s="182"/>
      <c r="X327" s="182"/>
      <c r="Y327" s="182"/>
      <c r="Z327" s="182"/>
      <c r="AA327" s="182"/>
      <c r="AB327" s="182"/>
      <c r="AC327" s="182"/>
      <c r="AD327" s="182"/>
      <c r="AE327" s="182"/>
      <c r="AF327" s="182"/>
      <c r="AG327" s="182"/>
      <c r="AH327" s="182"/>
      <c r="AI327" s="182"/>
      <c r="AJ327" s="182"/>
      <c r="AK327" s="182"/>
      <c r="AL327" s="182"/>
      <c r="AM327" s="182"/>
      <c r="AN327" s="182"/>
      <c r="AO327" s="182"/>
      <c r="AP327" s="182"/>
      <c r="AQ327" s="182"/>
      <c r="AR327" s="182"/>
      <c r="AS327" s="182"/>
      <c r="AT327" s="182"/>
      <c r="AU327" s="182"/>
    </row>
    <row r="328" spans="3:47" ht="16">
      <c r="C328" s="668" t="s">
        <v>199</v>
      </c>
      <c r="D328" s="330"/>
      <c r="E328" s="330"/>
      <c r="F328" s="330">
        <f>F327*HLOOKUP((F318+F321),$F301:$AU302,2,FALSE)</f>
        <v>0</v>
      </c>
      <c r="G328" s="330" t="e">
        <f t="shared" ref="G328:Q328" si="111">G327*HLOOKUP((G318+G321),$F301:$AU302,2,FALSE)</f>
        <v>#DIV/0!</v>
      </c>
      <c r="H328" s="330" t="e">
        <f t="shared" si="111"/>
        <v>#DIV/0!</v>
      </c>
      <c r="I328" s="330" t="e">
        <f t="shared" si="111"/>
        <v>#DIV/0!</v>
      </c>
      <c r="J328" s="330" t="e">
        <f t="shared" si="111"/>
        <v>#DIV/0!</v>
      </c>
      <c r="K328" s="330" t="e">
        <f t="shared" si="111"/>
        <v>#DIV/0!</v>
      </c>
      <c r="L328" s="330" t="e">
        <f t="shared" si="111"/>
        <v>#DIV/0!</v>
      </c>
      <c r="M328" s="330" t="e">
        <f t="shared" si="111"/>
        <v>#DIV/0!</v>
      </c>
      <c r="N328" s="330" t="e">
        <f t="shared" si="111"/>
        <v>#DIV/0!</v>
      </c>
      <c r="O328" s="330" t="e">
        <f t="shared" si="111"/>
        <v>#DIV/0!</v>
      </c>
      <c r="P328" s="330" t="e">
        <f t="shared" si="111"/>
        <v>#DIV/0!</v>
      </c>
      <c r="Q328" s="682" t="e">
        <f t="shared" si="111"/>
        <v>#DIV/0!</v>
      </c>
      <c r="R328" s="283"/>
      <c r="S328" s="283"/>
      <c r="T328" s="182"/>
      <c r="U328" s="182"/>
      <c r="V328" s="182"/>
      <c r="W328" s="182"/>
      <c r="X328" s="182"/>
      <c r="Y328" s="182"/>
      <c r="Z328" s="182"/>
      <c r="AA328" s="182"/>
      <c r="AB328" s="182"/>
      <c r="AC328" s="182"/>
      <c r="AD328" s="182"/>
      <c r="AE328" s="182"/>
      <c r="AF328" s="182"/>
      <c r="AG328" s="182"/>
      <c r="AH328" s="182"/>
      <c r="AI328" s="182"/>
      <c r="AJ328" s="182"/>
      <c r="AK328" s="182"/>
      <c r="AL328" s="182"/>
      <c r="AM328" s="182"/>
      <c r="AN328" s="182"/>
      <c r="AO328" s="182"/>
      <c r="AP328" s="182"/>
      <c r="AQ328" s="182"/>
      <c r="AR328" s="182"/>
      <c r="AS328" s="182"/>
      <c r="AT328" s="182"/>
      <c r="AU328" s="182"/>
    </row>
    <row r="329" spans="3:47">
      <c r="C329" s="664"/>
      <c r="D329" s="283"/>
      <c r="E329" s="283"/>
      <c r="F329" s="283"/>
      <c r="G329" s="283"/>
      <c r="H329" s="283"/>
      <c r="I329" s="283"/>
      <c r="J329" s="283"/>
      <c r="K329" s="283"/>
      <c r="L329" s="283"/>
      <c r="M329" s="283"/>
      <c r="N329" s="283"/>
      <c r="O329" s="283"/>
      <c r="P329" s="283"/>
      <c r="Q329" s="667"/>
      <c r="R329" s="283"/>
      <c r="S329" s="283"/>
      <c r="T329" s="182"/>
      <c r="U329" s="182"/>
      <c r="V329" s="182"/>
      <c r="W329" s="182"/>
      <c r="X329" s="182"/>
      <c r="Y329" s="182"/>
      <c r="Z329" s="182"/>
      <c r="AA329" s="182"/>
      <c r="AB329" s="182"/>
      <c r="AC329" s="182"/>
      <c r="AD329" s="182"/>
      <c r="AE329" s="182"/>
      <c r="AF329" s="182"/>
      <c r="AG329" s="182"/>
      <c r="AH329" s="182"/>
      <c r="AI329" s="182"/>
      <c r="AJ329" s="182"/>
      <c r="AK329" s="182"/>
      <c r="AL329" s="182"/>
      <c r="AM329" s="182"/>
      <c r="AN329" s="182"/>
      <c r="AO329" s="182"/>
      <c r="AP329" s="182"/>
      <c r="AQ329" s="182"/>
      <c r="AR329" s="182"/>
      <c r="AS329" s="182"/>
      <c r="AT329" s="182"/>
      <c r="AU329" s="182"/>
    </row>
    <row r="330" spans="3:47" ht="16">
      <c r="C330" s="664" t="s">
        <v>184</v>
      </c>
      <c r="D330" s="313"/>
      <c r="E330" s="283"/>
      <c r="F330" s="283">
        <f>NPV(F320+3%,F333:F336,(F337+F328))-F326</f>
        <v>0</v>
      </c>
      <c r="G330" s="283" t="e">
        <f t="shared" ref="G330:Q330" si="112">NPV(G320+3%,G333:G336,(G337+G328))-G326</f>
        <v>#DIV/0!</v>
      </c>
      <c r="H330" s="283" t="e">
        <f t="shared" si="112"/>
        <v>#DIV/0!</v>
      </c>
      <c r="I330" s="283" t="e">
        <f t="shared" si="112"/>
        <v>#DIV/0!</v>
      </c>
      <c r="J330" s="283" t="e">
        <f t="shared" si="112"/>
        <v>#DIV/0!</v>
      </c>
      <c r="K330" s="283" t="e">
        <f t="shared" si="112"/>
        <v>#DIV/0!</v>
      </c>
      <c r="L330" s="283" t="e">
        <f t="shared" si="112"/>
        <v>#DIV/0!</v>
      </c>
      <c r="M330" s="283" t="e">
        <f t="shared" si="112"/>
        <v>#DIV/0!</v>
      </c>
      <c r="N330" s="283" t="e">
        <f t="shared" si="112"/>
        <v>#DIV/0!</v>
      </c>
      <c r="O330" s="283" t="e">
        <f t="shared" si="112"/>
        <v>#DIV/0!</v>
      </c>
      <c r="P330" s="283" t="e">
        <f t="shared" si="112"/>
        <v>#DIV/0!</v>
      </c>
      <c r="Q330" s="667" t="e">
        <f t="shared" si="112"/>
        <v>#DIV/0!</v>
      </c>
      <c r="R330" s="283"/>
      <c r="S330" s="283"/>
      <c r="T330" s="182"/>
      <c r="U330" s="182"/>
      <c r="V330" s="182"/>
      <c r="W330" s="182"/>
      <c r="X330" s="182"/>
      <c r="Y330" s="182"/>
      <c r="Z330" s="182"/>
      <c r="AA330" s="182"/>
      <c r="AB330" s="182"/>
      <c r="AC330" s="182"/>
      <c r="AD330" s="182"/>
      <c r="AE330" s="182"/>
      <c r="AF330" s="182"/>
      <c r="AG330" s="182"/>
      <c r="AH330" s="182"/>
      <c r="AI330" s="182"/>
      <c r="AJ330" s="182"/>
      <c r="AK330" s="182"/>
      <c r="AL330" s="182"/>
      <c r="AM330" s="182"/>
      <c r="AN330" s="182"/>
      <c r="AO330" s="182"/>
      <c r="AP330" s="182"/>
      <c r="AQ330" s="182"/>
      <c r="AR330" s="182"/>
      <c r="AS330" s="182"/>
      <c r="AT330" s="182"/>
      <c r="AU330" s="182"/>
    </row>
    <row r="331" spans="3:47">
      <c r="C331" s="664"/>
      <c r="D331" s="248"/>
      <c r="E331" s="182"/>
      <c r="F331" s="182"/>
      <c r="G331" s="182"/>
      <c r="H331" s="182"/>
      <c r="I331" s="182"/>
      <c r="J331" s="182"/>
      <c r="K331" s="182"/>
      <c r="L331" s="182"/>
      <c r="M331" s="182"/>
      <c r="N331" s="182"/>
      <c r="O331" s="182"/>
      <c r="P331" s="182"/>
      <c r="Q331" s="678"/>
      <c r="R331" s="182"/>
      <c r="S331" s="182"/>
      <c r="T331" s="182"/>
      <c r="U331" s="182"/>
      <c r="V331" s="182"/>
      <c r="W331" s="182"/>
      <c r="X331" s="182"/>
      <c r="Y331" s="182"/>
      <c r="Z331" s="182"/>
      <c r="AA331" s="182"/>
      <c r="AB331" s="182"/>
      <c r="AC331" s="182"/>
      <c r="AD331" s="182"/>
      <c r="AE331" s="182"/>
      <c r="AF331" s="182"/>
      <c r="AG331" s="182"/>
      <c r="AH331" s="182"/>
      <c r="AI331" s="182"/>
      <c r="AJ331" s="182"/>
      <c r="AK331" s="182"/>
      <c r="AL331" s="182"/>
      <c r="AM331" s="182"/>
      <c r="AN331" s="182"/>
      <c r="AO331" s="182"/>
      <c r="AP331" s="182"/>
      <c r="AQ331" s="182"/>
      <c r="AR331" s="182"/>
      <c r="AS331" s="182"/>
      <c r="AT331" s="182"/>
      <c r="AU331" s="182"/>
    </row>
    <row r="332" spans="3:47">
      <c r="C332" s="664">
        <v>0</v>
      </c>
      <c r="D332" s="283"/>
      <c r="E332" s="283"/>
      <c r="F332" s="283"/>
      <c r="G332" s="283"/>
      <c r="H332" s="283"/>
      <c r="I332" s="283"/>
      <c r="J332" s="283"/>
      <c r="K332" s="283"/>
      <c r="L332" s="283"/>
      <c r="M332" s="283"/>
      <c r="N332" s="283"/>
      <c r="O332" s="283"/>
      <c r="P332" s="283"/>
      <c r="Q332" s="667"/>
      <c r="R332" s="283"/>
      <c r="S332" s="283"/>
      <c r="T332" s="182"/>
      <c r="U332" s="182"/>
      <c r="V332" s="182"/>
      <c r="W332" s="182"/>
      <c r="X332" s="182"/>
      <c r="Y332" s="182"/>
      <c r="Z332" s="182"/>
      <c r="AA332" s="182"/>
      <c r="AB332" s="182"/>
      <c r="AC332" s="182"/>
      <c r="AD332" s="182"/>
      <c r="AE332" s="182"/>
      <c r="AF332" s="182"/>
      <c r="AG332" s="182"/>
      <c r="AH332" s="182"/>
      <c r="AI332" s="182"/>
      <c r="AJ332" s="182"/>
      <c r="AK332" s="182"/>
      <c r="AL332" s="182"/>
      <c r="AM332" s="182"/>
      <c r="AN332" s="182"/>
      <c r="AO332" s="182"/>
      <c r="AP332" s="182"/>
      <c r="AQ332" s="182"/>
      <c r="AR332" s="182"/>
      <c r="AS332" s="182"/>
      <c r="AT332" s="182"/>
      <c r="AU332" s="182"/>
    </row>
    <row r="333" spans="3:47">
      <c r="C333" s="664">
        <v>1</v>
      </c>
      <c r="D333" s="283"/>
      <c r="E333" s="283"/>
      <c r="F333" s="283">
        <f t="shared" ref="F333:Q333" si="113">F$327*F$319*G$302</f>
        <v>0</v>
      </c>
      <c r="G333" s="283" t="e">
        <f t="shared" si="113"/>
        <v>#DIV/0!</v>
      </c>
      <c r="H333" s="283" t="e">
        <f t="shared" si="113"/>
        <v>#DIV/0!</v>
      </c>
      <c r="I333" s="283" t="e">
        <f t="shared" si="113"/>
        <v>#DIV/0!</v>
      </c>
      <c r="J333" s="283" t="e">
        <f t="shared" si="113"/>
        <v>#DIV/0!</v>
      </c>
      <c r="K333" s="283" t="e">
        <f t="shared" si="113"/>
        <v>#DIV/0!</v>
      </c>
      <c r="L333" s="283" t="e">
        <f t="shared" si="113"/>
        <v>#DIV/0!</v>
      </c>
      <c r="M333" s="283" t="e">
        <f t="shared" si="113"/>
        <v>#DIV/0!</v>
      </c>
      <c r="N333" s="283" t="e">
        <f t="shared" si="113"/>
        <v>#DIV/0!</v>
      </c>
      <c r="O333" s="283" t="e">
        <f t="shared" si="113"/>
        <v>#DIV/0!</v>
      </c>
      <c r="P333" s="283" t="e">
        <f t="shared" si="113"/>
        <v>#DIV/0!</v>
      </c>
      <c r="Q333" s="667" t="e">
        <f t="shared" si="113"/>
        <v>#DIV/0!</v>
      </c>
      <c r="R333" s="283"/>
      <c r="S333" s="283"/>
      <c r="T333" s="182"/>
      <c r="U333" s="182"/>
      <c r="V333" s="182"/>
      <c r="W333" s="182"/>
      <c r="X333" s="182"/>
      <c r="Y333" s="182"/>
      <c r="Z333" s="182"/>
      <c r="AA333" s="182"/>
      <c r="AB333" s="182"/>
      <c r="AC333" s="182"/>
      <c r="AD333" s="182"/>
      <c r="AE333" s="182"/>
      <c r="AF333" s="182"/>
      <c r="AG333" s="182"/>
      <c r="AH333" s="182"/>
      <c r="AI333" s="182"/>
      <c r="AJ333" s="182"/>
      <c r="AK333" s="182"/>
      <c r="AL333" s="182"/>
      <c r="AM333" s="182"/>
      <c r="AN333" s="182"/>
      <c r="AO333" s="182"/>
      <c r="AP333" s="182"/>
      <c r="AQ333" s="182"/>
      <c r="AR333" s="182"/>
      <c r="AS333" s="182"/>
      <c r="AT333" s="182"/>
      <c r="AU333" s="182"/>
    </row>
    <row r="334" spans="3:47">
      <c r="C334" s="664">
        <v>2</v>
      </c>
      <c r="D334" s="283"/>
      <c r="E334" s="283"/>
      <c r="F334" s="283">
        <f t="shared" ref="F334:P334" si="114">F$327*F$319*H$302</f>
        <v>0</v>
      </c>
      <c r="G334" s="283" t="e">
        <f t="shared" si="114"/>
        <v>#DIV/0!</v>
      </c>
      <c r="H334" s="283" t="e">
        <f t="shared" si="114"/>
        <v>#DIV/0!</v>
      </c>
      <c r="I334" s="283" t="e">
        <f t="shared" si="114"/>
        <v>#DIV/0!</v>
      </c>
      <c r="J334" s="283" t="e">
        <f t="shared" si="114"/>
        <v>#DIV/0!</v>
      </c>
      <c r="K334" s="283" t="e">
        <f t="shared" si="114"/>
        <v>#DIV/0!</v>
      </c>
      <c r="L334" s="283" t="e">
        <f t="shared" si="114"/>
        <v>#DIV/0!</v>
      </c>
      <c r="M334" s="283" t="e">
        <f t="shared" si="114"/>
        <v>#DIV/0!</v>
      </c>
      <c r="N334" s="283" t="e">
        <f t="shared" si="114"/>
        <v>#DIV/0!</v>
      </c>
      <c r="O334" s="283" t="e">
        <f t="shared" si="114"/>
        <v>#DIV/0!</v>
      </c>
      <c r="P334" s="283" t="e">
        <f t="shared" si="114"/>
        <v>#DIV/0!</v>
      </c>
      <c r="Q334" s="667" t="e">
        <f>Q$327*Q$319*S$302</f>
        <v>#DIV/0!</v>
      </c>
      <c r="R334" s="283"/>
      <c r="S334" s="283"/>
      <c r="T334" s="182"/>
      <c r="U334" s="182"/>
      <c r="V334" s="182"/>
      <c r="W334" s="182"/>
      <c r="X334" s="182"/>
      <c r="Y334" s="182"/>
      <c r="Z334" s="182"/>
      <c r="AA334" s="182"/>
      <c r="AB334" s="182"/>
      <c r="AC334" s="182"/>
      <c r="AD334" s="182"/>
      <c r="AE334" s="182"/>
      <c r="AF334" s="182"/>
      <c r="AG334" s="182"/>
      <c r="AH334" s="182"/>
      <c r="AI334" s="182"/>
      <c r="AJ334" s="182"/>
      <c r="AK334" s="182"/>
      <c r="AL334" s="182"/>
      <c r="AM334" s="182"/>
      <c r="AN334" s="182"/>
      <c r="AO334" s="182"/>
      <c r="AP334" s="182"/>
      <c r="AQ334" s="182"/>
      <c r="AR334" s="182"/>
      <c r="AS334" s="182"/>
      <c r="AT334" s="182"/>
      <c r="AU334" s="182"/>
    </row>
    <row r="335" spans="3:47">
      <c r="C335" s="664">
        <v>3</v>
      </c>
      <c r="D335" s="283"/>
      <c r="E335" s="283"/>
      <c r="F335" s="283">
        <f t="shared" ref="F335:O335" si="115">F$327*F$319*I$302</f>
        <v>0</v>
      </c>
      <c r="G335" s="283" t="e">
        <f t="shared" si="115"/>
        <v>#DIV/0!</v>
      </c>
      <c r="H335" s="283" t="e">
        <f t="shared" si="115"/>
        <v>#DIV/0!</v>
      </c>
      <c r="I335" s="283" t="e">
        <f t="shared" si="115"/>
        <v>#DIV/0!</v>
      </c>
      <c r="J335" s="283" t="e">
        <f t="shared" si="115"/>
        <v>#DIV/0!</v>
      </c>
      <c r="K335" s="283" t="e">
        <f t="shared" si="115"/>
        <v>#DIV/0!</v>
      </c>
      <c r="L335" s="283" t="e">
        <f t="shared" si="115"/>
        <v>#DIV/0!</v>
      </c>
      <c r="M335" s="283" t="e">
        <f t="shared" si="115"/>
        <v>#DIV/0!</v>
      </c>
      <c r="N335" s="283" t="e">
        <f t="shared" si="115"/>
        <v>#DIV/0!</v>
      </c>
      <c r="O335" s="283" t="e">
        <f t="shared" si="115"/>
        <v>#DIV/0!</v>
      </c>
      <c r="P335" s="283" t="e">
        <f>P$327*P$319*S$302</f>
        <v>#DIV/0!</v>
      </c>
      <c r="Q335" s="667" t="e">
        <f>Q$327*Q$319*T$302</f>
        <v>#DIV/0!</v>
      </c>
      <c r="R335" s="283"/>
      <c r="S335" s="283"/>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c r="AR335" s="182"/>
      <c r="AS335" s="182"/>
      <c r="AT335" s="182"/>
      <c r="AU335" s="182"/>
    </row>
    <row r="336" spans="3:47">
      <c r="C336" s="664">
        <v>4</v>
      </c>
      <c r="D336" s="283"/>
      <c r="E336" s="283"/>
      <c r="F336" s="283">
        <f t="shared" ref="F336:N336" si="116">F$327*F$319*J$302</f>
        <v>0</v>
      </c>
      <c r="G336" s="283" t="e">
        <f t="shared" si="116"/>
        <v>#DIV/0!</v>
      </c>
      <c r="H336" s="283" t="e">
        <f t="shared" si="116"/>
        <v>#DIV/0!</v>
      </c>
      <c r="I336" s="283" t="e">
        <f t="shared" si="116"/>
        <v>#DIV/0!</v>
      </c>
      <c r="J336" s="283" t="e">
        <f t="shared" si="116"/>
        <v>#DIV/0!</v>
      </c>
      <c r="K336" s="283" t="e">
        <f t="shared" si="116"/>
        <v>#DIV/0!</v>
      </c>
      <c r="L336" s="283" t="e">
        <f t="shared" si="116"/>
        <v>#DIV/0!</v>
      </c>
      <c r="M336" s="283" t="e">
        <f t="shared" si="116"/>
        <v>#DIV/0!</v>
      </c>
      <c r="N336" s="283" t="e">
        <f t="shared" si="116"/>
        <v>#DIV/0!</v>
      </c>
      <c r="O336" s="283" t="e">
        <f>O$327*O$319*S$302</f>
        <v>#DIV/0!</v>
      </c>
      <c r="P336" s="283" t="e">
        <f>P$327*P$319*T$302</f>
        <v>#DIV/0!</v>
      </c>
      <c r="Q336" s="667" t="e">
        <f>Q$327*Q$319*U$302</f>
        <v>#DIV/0!</v>
      </c>
      <c r="R336" s="283"/>
      <c r="S336" s="283"/>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c r="AR336" s="182"/>
      <c r="AS336" s="182"/>
      <c r="AT336" s="182"/>
      <c r="AU336" s="182"/>
    </row>
    <row r="337" spans="3:47">
      <c r="C337" s="664">
        <v>5</v>
      </c>
      <c r="D337" s="283"/>
      <c r="E337" s="283"/>
      <c r="F337" s="283">
        <f t="shared" ref="F337:M337" si="117">F$327*F$319*K$302</f>
        <v>0</v>
      </c>
      <c r="G337" s="283" t="e">
        <f t="shared" si="117"/>
        <v>#DIV/0!</v>
      </c>
      <c r="H337" s="283" t="e">
        <f t="shared" si="117"/>
        <v>#DIV/0!</v>
      </c>
      <c r="I337" s="283" t="e">
        <f t="shared" si="117"/>
        <v>#DIV/0!</v>
      </c>
      <c r="J337" s="283" t="e">
        <f t="shared" si="117"/>
        <v>#DIV/0!</v>
      </c>
      <c r="K337" s="283" t="e">
        <f t="shared" si="117"/>
        <v>#DIV/0!</v>
      </c>
      <c r="L337" s="283" t="e">
        <f t="shared" si="117"/>
        <v>#DIV/0!</v>
      </c>
      <c r="M337" s="283" t="e">
        <f t="shared" si="117"/>
        <v>#DIV/0!</v>
      </c>
      <c r="N337" s="283" t="e">
        <f>N$327*N$319*S$302</f>
        <v>#DIV/0!</v>
      </c>
      <c r="O337" s="283" t="e">
        <f>O$327*O$319*T$302</f>
        <v>#DIV/0!</v>
      </c>
      <c r="P337" s="283" t="e">
        <f>P$327*P$319*U$302</f>
        <v>#DIV/0!</v>
      </c>
      <c r="Q337" s="667" t="e">
        <f>Q$327*Q$319*V$302</f>
        <v>#DIV/0!</v>
      </c>
      <c r="R337" s="283"/>
      <c r="S337" s="283"/>
      <c r="T337" s="182"/>
      <c r="U337" s="182"/>
      <c r="V337" s="182"/>
      <c r="W337" s="182"/>
      <c r="X337" s="182"/>
      <c r="Y337" s="182"/>
      <c r="Z337" s="182"/>
      <c r="AA337" s="182"/>
      <c r="AB337" s="182"/>
      <c r="AC337" s="182"/>
      <c r="AD337" s="182"/>
      <c r="AE337" s="182"/>
      <c r="AF337" s="182"/>
      <c r="AG337" s="182"/>
      <c r="AH337" s="182"/>
      <c r="AI337" s="182"/>
      <c r="AJ337" s="182"/>
      <c r="AK337" s="182"/>
      <c r="AL337" s="182"/>
      <c r="AM337" s="182"/>
      <c r="AN337" s="182"/>
      <c r="AO337" s="182"/>
      <c r="AP337" s="182"/>
      <c r="AQ337" s="182"/>
      <c r="AR337" s="182"/>
      <c r="AS337" s="182"/>
      <c r="AT337" s="182"/>
      <c r="AU337" s="182"/>
    </row>
    <row r="338" spans="3:47">
      <c r="C338" s="664"/>
      <c r="D338" s="182"/>
      <c r="E338" s="182"/>
      <c r="F338" s="182"/>
      <c r="G338" s="182"/>
      <c r="H338" s="182"/>
      <c r="I338" s="182"/>
      <c r="J338" s="182"/>
      <c r="K338" s="182"/>
      <c r="L338" s="182"/>
      <c r="M338" s="182"/>
      <c r="N338" s="182"/>
      <c r="O338" s="182"/>
      <c r="P338" s="182"/>
      <c r="Q338" s="678"/>
      <c r="R338" s="182"/>
      <c r="S338" s="182"/>
      <c r="T338" s="182"/>
      <c r="U338" s="182"/>
      <c r="V338" s="182"/>
      <c r="W338" s="182"/>
      <c r="X338" s="182"/>
      <c r="Y338" s="182"/>
      <c r="Z338" s="182"/>
      <c r="AA338" s="182"/>
      <c r="AB338" s="182"/>
      <c r="AC338" s="182"/>
      <c r="AD338" s="182"/>
      <c r="AE338" s="182"/>
      <c r="AF338" s="182"/>
      <c r="AG338" s="182"/>
      <c r="AH338" s="182"/>
      <c r="AI338" s="182"/>
      <c r="AJ338" s="182"/>
      <c r="AK338" s="182"/>
      <c r="AL338" s="182"/>
      <c r="AM338" s="182"/>
      <c r="AN338" s="182"/>
      <c r="AO338" s="182"/>
      <c r="AP338" s="182"/>
      <c r="AQ338" s="182"/>
      <c r="AR338" s="182"/>
      <c r="AS338" s="182"/>
      <c r="AT338" s="182"/>
      <c r="AU338" s="182"/>
    </row>
    <row r="339" spans="3:47" ht="16">
      <c r="C339" s="664" t="s">
        <v>173</v>
      </c>
      <c r="D339" s="283"/>
      <c r="E339" s="283"/>
      <c r="F339" s="283">
        <f>E333+D334</f>
        <v>0</v>
      </c>
      <c r="G339" s="283">
        <f>F333+E334+D335</f>
        <v>0</v>
      </c>
      <c r="H339" s="283" t="e">
        <f>G333+F334+E335+D336</f>
        <v>#DIV/0!</v>
      </c>
      <c r="I339" s="283" t="e">
        <f>H333+G334+F335+E336+D337</f>
        <v>#DIV/0!</v>
      </c>
      <c r="J339" s="283" t="e">
        <f>I333+H334+G335+F336+E337</f>
        <v>#DIV/0!</v>
      </c>
      <c r="K339" s="283" t="e">
        <f t="shared" ref="K339:Q339" si="118">J333+I334+H335+G336+F337</f>
        <v>#DIV/0!</v>
      </c>
      <c r="L339" s="283" t="e">
        <f t="shared" si="118"/>
        <v>#DIV/0!</v>
      </c>
      <c r="M339" s="283" t="e">
        <f t="shared" si="118"/>
        <v>#DIV/0!</v>
      </c>
      <c r="N339" s="283" t="e">
        <f t="shared" si="118"/>
        <v>#DIV/0!</v>
      </c>
      <c r="O339" s="283" t="e">
        <f t="shared" si="118"/>
        <v>#DIV/0!</v>
      </c>
      <c r="P339" s="283" t="e">
        <f t="shared" si="118"/>
        <v>#DIV/0!</v>
      </c>
      <c r="Q339" s="667" t="e">
        <f t="shared" si="118"/>
        <v>#DIV/0!</v>
      </c>
      <c r="R339" s="283"/>
      <c r="S339" s="283"/>
      <c r="T339" s="182"/>
      <c r="U339" s="182"/>
      <c r="V339" s="182"/>
      <c r="W339" s="182"/>
      <c r="X339" s="182"/>
      <c r="Y339" s="182"/>
      <c r="Z339" s="182"/>
      <c r="AA339" s="182"/>
      <c r="AB339" s="182"/>
      <c r="AC339" s="182"/>
      <c r="AD339" s="182"/>
      <c r="AE339" s="182"/>
      <c r="AF339" s="182"/>
      <c r="AG339" s="182"/>
      <c r="AH339" s="182"/>
      <c r="AI339" s="182"/>
      <c r="AJ339" s="182"/>
      <c r="AK339" s="182"/>
      <c r="AL339" s="182"/>
      <c r="AM339" s="182"/>
      <c r="AN339" s="182"/>
      <c r="AO339" s="182"/>
      <c r="AP339" s="182"/>
      <c r="AQ339" s="182"/>
      <c r="AR339" s="182"/>
      <c r="AS339" s="182"/>
      <c r="AT339" s="182"/>
      <c r="AU339" s="182"/>
    </row>
    <row r="340" spans="3:47" ht="16">
      <c r="C340" s="664" t="s">
        <v>174</v>
      </c>
      <c r="D340" s="283"/>
      <c r="E340" s="283"/>
      <c r="F340" s="283">
        <f t="shared" ref="F340:Q340" si="119">F332</f>
        <v>0</v>
      </c>
      <c r="G340" s="283">
        <f t="shared" si="119"/>
        <v>0</v>
      </c>
      <c r="H340" s="283">
        <f t="shared" si="119"/>
        <v>0</v>
      </c>
      <c r="I340" s="283">
        <f t="shared" si="119"/>
        <v>0</v>
      </c>
      <c r="J340" s="283">
        <f t="shared" si="119"/>
        <v>0</v>
      </c>
      <c r="K340" s="283">
        <f t="shared" si="119"/>
        <v>0</v>
      </c>
      <c r="L340" s="283">
        <f t="shared" si="119"/>
        <v>0</v>
      </c>
      <c r="M340" s="283">
        <f t="shared" si="119"/>
        <v>0</v>
      </c>
      <c r="N340" s="283">
        <f t="shared" si="119"/>
        <v>0</v>
      </c>
      <c r="O340" s="283">
        <f t="shared" si="119"/>
        <v>0</v>
      </c>
      <c r="P340" s="283">
        <f t="shared" si="119"/>
        <v>0</v>
      </c>
      <c r="Q340" s="667">
        <f t="shared" si="119"/>
        <v>0</v>
      </c>
      <c r="R340" s="283"/>
      <c r="S340" s="283"/>
      <c r="T340" s="182"/>
      <c r="U340" s="182"/>
      <c r="V340" s="182"/>
      <c r="W340" s="182"/>
      <c r="X340" s="182"/>
      <c r="Y340" s="182"/>
      <c r="Z340" s="182"/>
      <c r="AA340" s="182"/>
      <c r="AB340" s="182"/>
      <c r="AC340" s="182"/>
      <c r="AD340" s="182"/>
      <c r="AE340" s="182"/>
      <c r="AF340" s="182"/>
      <c r="AG340" s="182"/>
      <c r="AH340" s="182"/>
      <c r="AI340" s="182"/>
      <c r="AJ340" s="182"/>
      <c r="AK340" s="182"/>
      <c r="AL340" s="182"/>
      <c r="AM340" s="182"/>
      <c r="AN340" s="182"/>
      <c r="AO340" s="182"/>
      <c r="AP340" s="182"/>
      <c r="AQ340" s="182"/>
      <c r="AR340" s="182"/>
      <c r="AS340" s="182"/>
      <c r="AT340" s="182"/>
      <c r="AU340" s="182"/>
    </row>
    <row r="341" spans="3:47">
      <c r="C341" s="664"/>
      <c r="D341" s="182"/>
      <c r="E341" s="182"/>
      <c r="F341" s="182"/>
      <c r="G341" s="182"/>
      <c r="H341" s="182"/>
      <c r="I341" s="182"/>
      <c r="J341" s="182"/>
      <c r="K341" s="182"/>
      <c r="L341" s="182"/>
      <c r="M341" s="182"/>
      <c r="N341" s="182"/>
      <c r="O341" s="182"/>
      <c r="P341" s="182"/>
      <c r="Q341" s="678"/>
      <c r="R341" s="283"/>
      <c r="S341" s="283"/>
      <c r="T341" s="182"/>
      <c r="U341" s="182"/>
      <c r="V341" s="182"/>
      <c r="W341" s="182"/>
      <c r="X341" s="182"/>
      <c r="Y341" s="182"/>
      <c r="Z341" s="182"/>
      <c r="AA341" s="182"/>
      <c r="AB341" s="182"/>
      <c r="AC341" s="182"/>
      <c r="AD341" s="182"/>
      <c r="AE341" s="182"/>
      <c r="AF341" s="182"/>
      <c r="AG341" s="182"/>
      <c r="AH341" s="182"/>
      <c r="AI341" s="182"/>
      <c r="AJ341" s="182"/>
      <c r="AK341" s="182"/>
      <c r="AL341" s="182"/>
      <c r="AM341" s="182"/>
      <c r="AN341" s="182"/>
      <c r="AO341" s="182"/>
      <c r="AP341" s="182"/>
      <c r="AQ341" s="182"/>
      <c r="AR341" s="182"/>
      <c r="AS341" s="182"/>
      <c r="AT341" s="182"/>
      <c r="AU341" s="182"/>
    </row>
    <row r="342" spans="3:47">
      <c r="C342" s="679">
        <v>10</v>
      </c>
      <c r="D342" s="322"/>
      <c r="E342" s="322">
        <v>2023</v>
      </c>
      <c r="F342" s="322">
        <v>2024</v>
      </c>
      <c r="G342" s="322">
        <v>2025</v>
      </c>
      <c r="H342" s="322">
        <v>2026</v>
      </c>
      <c r="I342" s="322">
        <v>2027</v>
      </c>
      <c r="J342" s="322">
        <v>2028</v>
      </c>
      <c r="K342" s="322">
        <v>2029</v>
      </c>
      <c r="L342" s="322">
        <v>2030</v>
      </c>
      <c r="M342" s="322">
        <v>2031</v>
      </c>
      <c r="N342" s="322">
        <v>2032</v>
      </c>
      <c r="O342" s="322">
        <v>2033</v>
      </c>
      <c r="P342" s="322">
        <v>2034</v>
      </c>
      <c r="Q342" s="680">
        <v>2035</v>
      </c>
      <c r="R342" s="283"/>
      <c r="S342" s="283"/>
      <c r="T342" s="182"/>
      <c r="U342" s="182"/>
      <c r="V342" s="182"/>
      <c r="W342" s="182"/>
      <c r="X342" s="182"/>
      <c r="Y342" s="182"/>
      <c r="Z342" s="182"/>
      <c r="AA342" s="182"/>
      <c r="AB342" s="182"/>
      <c r="AC342" s="182"/>
      <c r="AD342" s="182"/>
      <c r="AE342" s="182"/>
      <c r="AF342" s="182"/>
      <c r="AG342" s="182"/>
      <c r="AH342" s="182"/>
      <c r="AI342" s="182"/>
      <c r="AJ342" s="182"/>
      <c r="AK342" s="182"/>
      <c r="AL342" s="182"/>
      <c r="AM342" s="182"/>
      <c r="AN342" s="182"/>
      <c r="AO342" s="182"/>
      <c r="AP342" s="182"/>
      <c r="AQ342" s="182"/>
      <c r="AR342" s="182"/>
      <c r="AS342" s="182"/>
      <c r="AT342" s="182"/>
      <c r="AU342" s="182"/>
    </row>
    <row r="343" spans="3:47" ht="16">
      <c r="C343" s="664" t="s">
        <v>177</v>
      </c>
      <c r="D343" s="291"/>
      <c r="E343" s="291"/>
      <c r="F343" s="291">
        <f>'Deuda a emitir'!F55</f>
        <v>0</v>
      </c>
      <c r="G343" s="291">
        <f>'Deuda a emitir'!G55</f>
        <v>0</v>
      </c>
      <c r="H343" s="291">
        <f>'Deuda a emitir'!H55</f>
        <v>0</v>
      </c>
      <c r="I343" s="291">
        <f>'Deuda a emitir'!I55</f>
        <v>0</v>
      </c>
      <c r="J343" s="291">
        <f>'Deuda a emitir'!J55</f>
        <v>0</v>
      </c>
      <c r="K343" s="291">
        <f>'Deuda a emitir'!K55</f>
        <v>0</v>
      </c>
      <c r="L343" s="291">
        <f>'Deuda a emitir'!L55</f>
        <v>0</v>
      </c>
      <c r="M343" s="291">
        <f>'Deuda a emitir'!M55</f>
        <v>0</v>
      </c>
      <c r="N343" s="291">
        <f>'Deuda a emitir'!N55</f>
        <v>0</v>
      </c>
      <c r="O343" s="291">
        <f>'Deuda a emitir'!O55</f>
        <v>0</v>
      </c>
      <c r="P343" s="291">
        <f>'Deuda a emitir'!P55</f>
        <v>0</v>
      </c>
      <c r="Q343" s="666">
        <f>'Deuda a emitir'!Q55</f>
        <v>0</v>
      </c>
      <c r="R343" s="283"/>
      <c r="S343" s="283"/>
      <c r="T343" s="182"/>
      <c r="U343" s="182"/>
      <c r="V343" s="182"/>
      <c r="W343" s="182"/>
      <c r="X343" s="182"/>
      <c r="Y343" s="182"/>
      <c r="Z343" s="182"/>
      <c r="AA343" s="182"/>
      <c r="AB343" s="182"/>
      <c r="AC343" s="182"/>
      <c r="AD343" s="182"/>
      <c r="AE343" s="182"/>
      <c r="AF343" s="182"/>
      <c r="AG343" s="182"/>
      <c r="AH343" s="182"/>
      <c r="AI343" s="182"/>
      <c r="AJ343" s="182"/>
      <c r="AK343" s="182"/>
      <c r="AL343" s="182"/>
      <c r="AM343" s="182"/>
      <c r="AN343" s="182"/>
      <c r="AO343" s="182"/>
      <c r="AP343" s="182"/>
      <c r="AQ343" s="182"/>
      <c r="AR343" s="182"/>
      <c r="AS343" s="182"/>
      <c r="AT343" s="182"/>
      <c r="AU343" s="182"/>
    </row>
    <row r="344" spans="3:47" ht="16">
      <c r="C344" s="664" t="s">
        <v>178</v>
      </c>
      <c r="D344" s="291"/>
      <c r="E344" s="291"/>
      <c r="F344" s="291">
        <f>'Deuda a emitir'!F56</f>
        <v>0</v>
      </c>
      <c r="G344" s="291">
        <f>'Deuda a emitir'!G56</f>
        <v>0</v>
      </c>
      <c r="H344" s="291">
        <f>'Deuda a emitir'!H56</f>
        <v>0</v>
      </c>
      <c r="I344" s="291">
        <f>'Deuda a emitir'!I56</f>
        <v>0</v>
      </c>
      <c r="J344" s="291">
        <f>'Deuda a emitir'!J56</f>
        <v>0</v>
      </c>
      <c r="K344" s="291">
        <f>'Deuda a emitir'!K56</f>
        <v>0</v>
      </c>
      <c r="L344" s="291">
        <f>'Deuda a emitir'!L56</f>
        <v>0</v>
      </c>
      <c r="M344" s="291">
        <f>'Deuda a emitir'!M56</f>
        <v>0</v>
      </c>
      <c r="N344" s="291">
        <f>'Deuda a emitir'!N56</f>
        <v>0</v>
      </c>
      <c r="O344" s="291">
        <f>'Deuda a emitir'!O56</f>
        <v>0</v>
      </c>
      <c r="P344" s="291">
        <f>'Deuda a emitir'!P56</f>
        <v>0</v>
      </c>
      <c r="Q344" s="666">
        <f>'Deuda a emitir'!Q56</f>
        <v>0</v>
      </c>
      <c r="R344" s="283"/>
      <c r="S344" s="283"/>
      <c r="T344" s="182"/>
      <c r="U344" s="182"/>
      <c r="V344" s="182"/>
      <c r="W344" s="182"/>
      <c r="X344" s="182"/>
      <c r="Y344" s="182"/>
      <c r="Z344" s="182"/>
      <c r="AA344" s="182"/>
      <c r="AB344" s="182"/>
      <c r="AC344" s="182"/>
      <c r="AD344" s="182"/>
      <c r="AE344" s="182"/>
      <c r="AF344" s="182"/>
      <c r="AG344" s="182"/>
      <c r="AH344" s="182"/>
      <c r="AI344" s="182"/>
      <c r="AJ344" s="182"/>
      <c r="AK344" s="182"/>
      <c r="AL344" s="182"/>
      <c r="AM344" s="182"/>
      <c r="AN344" s="182"/>
      <c r="AO344" s="182"/>
      <c r="AP344" s="182"/>
      <c r="AQ344" s="182"/>
      <c r="AR344" s="182"/>
      <c r="AS344" s="182"/>
      <c r="AT344" s="182"/>
      <c r="AU344" s="182"/>
    </row>
    <row r="345" spans="3:47" ht="16">
      <c r="C345" s="664" t="s">
        <v>179</v>
      </c>
      <c r="D345" s="328"/>
      <c r="E345" s="328"/>
      <c r="F345" s="328">
        <f>'Deuda a emitir'!F57</f>
        <v>10</v>
      </c>
      <c r="G345" s="328">
        <f>'Deuda a emitir'!G57</f>
        <v>10</v>
      </c>
      <c r="H345" s="328">
        <f>'Deuda a emitir'!H57</f>
        <v>10</v>
      </c>
      <c r="I345" s="328">
        <f>'Deuda a emitir'!I57</f>
        <v>10</v>
      </c>
      <c r="J345" s="328">
        <f>'Deuda a emitir'!J57</f>
        <v>10</v>
      </c>
      <c r="K345" s="328">
        <f>'Deuda a emitir'!K57</f>
        <v>10</v>
      </c>
      <c r="L345" s="328">
        <f>'Deuda a emitir'!L57</f>
        <v>10</v>
      </c>
      <c r="M345" s="328">
        <f>'Deuda a emitir'!M57</f>
        <v>10</v>
      </c>
      <c r="N345" s="328">
        <f>'Deuda a emitir'!N57</f>
        <v>10</v>
      </c>
      <c r="O345" s="328">
        <f>'Deuda a emitir'!O57</f>
        <v>10</v>
      </c>
      <c r="P345" s="328">
        <f>'Deuda a emitir'!P57</f>
        <v>10</v>
      </c>
      <c r="Q345" s="681">
        <f>'Deuda a emitir'!Q57</f>
        <v>10</v>
      </c>
      <c r="R345" s="283"/>
      <c r="S345" s="283"/>
      <c r="T345" s="182"/>
      <c r="U345" s="182"/>
      <c r="V345" s="182"/>
      <c r="W345" s="182"/>
      <c r="X345" s="182"/>
      <c r="Y345" s="182"/>
      <c r="Z345" s="182"/>
      <c r="AA345" s="182"/>
      <c r="AB345" s="182"/>
      <c r="AC345" s="182"/>
      <c r="AD345" s="182"/>
      <c r="AE345" s="182"/>
      <c r="AF345" s="182"/>
      <c r="AG345" s="182"/>
      <c r="AH345" s="182"/>
      <c r="AI345" s="182"/>
      <c r="AJ345" s="182"/>
      <c r="AK345" s="182"/>
      <c r="AL345" s="182"/>
      <c r="AM345" s="182"/>
      <c r="AN345" s="182"/>
      <c r="AO345" s="182"/>
      <c r="AP345" s="182"/>
      <c r="AQ345" s="182"/>
      <c r="AR345" s="182"/>
      <c r="AS345" s="182"/>
      <c r="AT345" s="182"/>
      <c r="AU345" s="182"/>
    </row>
    <row r="346" spans="3:47" ht="16">
      <c r="C346" s="664" t="s">
        <v>72</v>
      </c>
      <c r="D346" s="328"/>
      <c r="E346" s="328"/>
      <c r="F346" s="328">
        <f t="shared" ref="F346:Q346" si="120">F342+F345</f>
        <v>2034</v>
      </c>
      <c r="G346" s="328">
        <f t="shared" si="120"/>
        <v>2035</v>
      </c>
      <c r="H346" s="328">
        <f t="shared" si="120"/>
        <v>2036</v>
      </c>
      <c r="I346" s="328">
        <f t="shared" si="120"/>
        <v>2037</v>
      </c>
      <c r="J346" s="328">
        <f t="shared" si="120"/>
        <v>2038</v>
      </c>
      <c r="K346" s="328">
        <f t="shared" si="120"/>
        <v>2039</v>
      </c>
      <c r="L346" s="328">
        <f t="shared" si="120"/>
        <v>2040</v>
      </c>
      <c r="M346" s="328">
        <f t="shared" si="120"/>
        <v>2041</v>
      </c>
      <c r="N346" s="328">
        <f t="shared" si="120"/>
        <v>2042</v>
      </c>
      <c r="O346" s="328">
        <f t="shared" si="120"/>
        <v>2043</v>
      </c>
      <c r="P346" s="328">
        <f t="shared" si="120"/>
        <v>2044</v>
      </c>
      <c r="Q346" s="681">
        <f t="shared" si="120"/>
        <v>2045</v>
      </c>
      <c r="R346" s="327"/>
      <c r="S346" s="327"/>
      <c r="T346" s="182"/>
      <c r="U346" s="182"/>
      <c r="V346" s="182"/>
      <c r="W346" s="182"/>
      <c r="X346" s="182"/>
      <c r="Y346" s="182"/>
      <c r="Z346" s="182"/>
      <c r="AA346" s="182"/>
      <c r="AB346" s="182"/>
      <c r="AC346" s="182"/>
      <c r="AD346" s="182"/>
      <c r="AE346" s="182"/>
      <c r="AF346" s="182"/>
      <c r="AG346" s="182"/>
      <c r="AH346" s="182"/>
      <c r="AI346" s="182"/>
      <c r="AJ346" s="182"/>
      <c r="AK346" s="182"/>
      <c r="AL346" s="182"/>
      <c r="AM346" s="182"/>
      <c r="AN346" s="182"/>
      <c r="AO346" s="182"/>
      <c r="AP346" s="182"/>
      <c r="AQ346" s="182"/>
      <c r="AR346" s="182"/>
      <c r="AS346" s="182"/>
      <c r="AT346" s="182"/>
      <c r="AU346" s="182"/>
    </row>
    <row r="347" spans="3:47" ht="16">
      <c r="C347" s="664" t="s">
        <v>180</v>
      </c>
      <c r="D347" s="291"/>
      <c r="E347" s="291"/>
      <c r="F347" s="291">
        <f>'Deuda a emitir'!F47</f>
        <v>0</v>
      </c>
      <c r="G347" s="291">
        <f>'Deuda a emitir'!G47</f>
        <v>0</v>
      </c>
      <c r="H347" s="291">
        <f>'Deuda a emitir'!H47</f>
        <v>0</v>
      </c>
      <c r="I347" s="291">
        <f>'Deuda a emitir'!I47</f>
        <v>0</v>
      </c>
      <c r="J347" s="291">
        <f>'Deuda a emitir'!J47</f>
        <v>0</v>
      </c>
      <c r="K347" s="291">
        <f>'Deuda a emitir'!K47</f>
        <v>0</v>
      </c>
      <c r="L347" s="291">
        <f>'Deuda a emitir'!L47</f>
        <v>0</v>
      </c>
      <c r="M347" s="291">
        <f>'Deuda a emitir'!M47</f>
        <v>0</v>
      </c>
      <c r="N347" s="291">
        <f>'Deuda a emitir'!N47</f>
        <v>0</v>
      </c>
      <c r="O347" s="291">
        <f>'Deuda a emitir'!O47</f>
        <v>0</v>
      </c>
      <c r="P347" s="291">
        <f>'Deuda a emitir'!P47</f>
        <v>0</v>
      </c>
      <c r="Q347" s="666">
        <f>'Deuda a emitir'!Q47</f>
        <v>0</v>
      </c>
      <c r="R347" s="283"/>
      <c r="S347" s="283"/>
      <c r="T347" s="182"/>
      <c r="U347" s="182"/>
      <c r="V347" s="182"/>
      <c r="W347" s="182"/>
      <c r="X347" s="182"/>
      <c r="Y347" s="182"/>
      <c r="Z347" s="182"/>
      <c r="AA347" s="182"/>
      <c r="AB347" s="182"/>
      <c r="AC347" s="182"/>
      <c r="AD347" s="182"/>
      <c r="AE347" s="182"/>
      <c r="AF347" s="182"/>
      <c r="AG347" s="182"/>
      <c r="AH347" s="182"/>
      <c r="AI347" s="182"/>
      <c r="AJ347" s="182"/>
      <c r="AK347" s="182"/>
      <c r="AL347" s="182"/>
      <c r="AM347" s="182"/>
      <c r="AN347" s="182"/>
      <c r="AO347" s="182"/>
      <c r="AP347" s="182"/>
      <c r="AQ347" s="182"/>
      <c r="AR347" s="182"/>
      <c r="AS347" s="182"/>
      <c r="AT347" s="182"/>
      <c r="AU347" s="182"/>
    </row>
    <row r="348" spans="3:47" ht="32">
      <c r="C348" s="664" t="s">
        <v>187</v>
      </c>
      <c r="D348" s="283"/>
      <c r="E348" s="283"/>
      <c r="F348" s="283">
        <f t="shared" ref="F348:Q348" si="121">F$304*F347</f>
        <v>0</v>
      </c>
      <c r="G348" s="283" t="e">
        <f t="shared" si="121"/>
        <v>#DIV/0!</v>
      </c>
      <c r="H348" s="283" t="e">
        <f t="shared" si="121"/>
        <v>#DIV/0!</v>
      </c>
      <c r="I348" s="283" t="e">
        <f t="shared" si="121"/>
        <v>#DIV/0!</v>
      </c>
      <c r="J348" s="283" t="e">
        <f t="shared" si="121"/>
        <v>#DIV/0!</v>
      </c>
      <c r="K348" s="283" t="e">
        <f t="shared" si="121"/>
        <v>#DIV/0!</v>
      </c>
      <c r="L348" s="283" t="e">
        <f t="shared" si="121"/>
        <v>#DIV/0!</v>
      </c>
      <c r="M348" s="283" t="e">
        <f t="shared" si="121"/>
        <v>#DIV/0!</v>
      </c>
      <c r="N348" s="283" t="e">
        <f t="shared" si="121"/>
        <v>#DIV/0!</v>
      </c>
      <c r="O348" s="283" t="e">
        <f t="shared" si="121"/>
        <v>#DIV/0!</v>
      </c>
      <c r="P348" s="283" t="e">
        <f t="shared" si="121"/>
        <v>#DIV/0!</v>
      </c>
      <c r="Q348" s="667" t="e">
        <f t="shared" si="121"/>
        <v>#DIV/0!</v>
      </c>
      <c r="R348" s="283"/>
      <c r="S348" s="283"/>
      <c r="T348" s="182"/>
      <c r="U348" s="182"/>
      <c r="V348" s="182"/>
      <c r="W348" s="182"/>
      <c r="X348" s="182"/>
      <c r="Y348" s="182"/>
      <c r="Z348" s="182"/>
      <c r="AA348" s="182"/>
      <c r="AB348" s="182"/>
      <c r="AC348" s="182"/>
      <c r="AD348" s="182"/>
      <c r="AE348" s="182"/>
      <c r="AF348" s="182"/>
      <c r="AG348" s="182"/>
      <c r="AH348" s="182"/>
      <c r="AI348" s="182"/>
      <c r="AJ348" s="182"/>
      <c r="AK348" s="182"/>
      <c r="AL348" s="182"/>
      <c r="AM348" s="182"/>
      <c r="AN348" s="182"/>
      <c r="AO348" s="182"/>
      <c r="AP348" s="182"/>
      <c r="AQ348" s="182"/>
      <c r="AR348" s="182"/>
      <c r="AS348" s="182"/>
      <c r="AT348" s="182"/>
      <c r="AU348" s="182"/>
    </row>
    <row r="349" spans="3:47" ht="32">
      <c r="C349" s="664" t="s">
        <v>171</v>
      </c>
      <c r="D349" s="283"/>
      <c r="E349" s="283"/>
      <c r="F349" s="283">
        <f t="shared" ref="F349:Q349" si="122">F$305*F347</f>
        <v>0</v>
      </c>
      <c r="G349" s="283">
        <f t="shared" si="122"/>
        <v>0</v>
      </c>
      <c r="H349" s="283">
        <f t="shared" si="122"/>
        <v>0</v>
      </c>
      <c r="I349" s="283">
        <f t="shared" si="122"/>
        <v>0</v>
      </c>
      <c r="J349" s="283">
        <f t="shared" si="122"/>
        <v>0</v>
      </c>
      <c r="K349" s="283">
        <f t="shared" si="122"/>
        <v>0</v>
      </c>
      <c r="L349" s="283">
        <f t="shared" si="122"/>
        <v>0</v>
      </c>
      <c r="M349" s="283">
        <f t="shared" si="122"/>
        <v>0</v>
      </c>
      <c r="N349" s="283">
        <f t="shared" si="122"/>
        <v>0</v>
      </c>
      <c r="O349" s="283">
        <f t="shared" si="122"/>
        <v>0</v>
      </c>
      <c r="P349" s="283">
        <f t="shared" si="122"/>
        <v>0</v>
      </c>
      <c r="Q349" s="667">
        <f t="shared" si="122"/>
        <v>0</v>
      </c>
      <c r="R349" s="283"/>
      <c r="S349" s="283"/>
      <c r="T349" s="182"/>
      <c r="U349" s="182"/>
      <c r="V349" s="182"/>
      <c r="W349" s="182"/>
      <c r="X349" s="182"/>
      <c r="Y349" s="182"/>
      <c r="Z349" s="182"/>
      <c r="AA349" s="182"/>
      <c r="AB349" s="182"/>
      <c r="AC349" s="182"/>
      <c r="AD349" s="182"/>
      <c r="AE349" s="182"/>
      <c r="AF349" s="182"/>
      <c r="AG349" s="182"/>
      <c r="AH349" s="182"/>
      <c r="AI349" s="182"/>
      <c r="AJ349" s="182"/>
      <c r="AK349" s="182"/>
      <c r="AL349" s="182"/>
      <c r="AM349" s="182"/>
      <c r="AN349" s="182"/>
      <c r="AO349" s="182"/>
      <c r="AP349" s="182"/>
      <c r="AQ349" s="182"/>
      <c r="AR349" s="182"/>
      <c r="AS349" s="182"/>
      <c r="AT349" s="182"/>
      <c r="AU349" s="182"/>
    </row>
    <row r="350" spans="3:47" ht="16">
      <c r="C350" s="668" t="s">
        <v>197</v>
      </c>
      <c r="D350" s="288"/>
      <c r="E350" s="37"/>
      <c r="F350" s="37">
        <f t="shared" ref="F350:P350" si="123">SUM(F348:F349)</f>
        <v>0</v>
      </c>
      <c r="G350" s="37" t="e">
        <f t="shared" si="123"/>
        <v>#DIV/0!</v>
      </c>
      <c r="H350" s="37" t="e">
        <f t="shared" si="123"/>
        <v>#DIV/0!</v>
      </c>
      <c r="I350" s="37" t="e">
        <f t="shared" si="123"/>
        <v>#DIV/0!</v>
      </c>
      <c r="J350" s="37" t="e">
        <f t="shared" si="123"/>
        <v>#DIV/0!</v>
      </c>
      <c r="K350" s="37" t="e">
        <f t="shared" si="123"/>
        <v>#DIV/0!</v>
      </c>
      <c r="L350" s="37" t="e">
        <f t="shared" si="123"/>
        <v>#DIV/0!</v>
      </c>
      <c r="M350" s="37" t="e">
        <f t="shared" si="123"/>
        <v>#DIV/0!</v>
      </c>
      <c r="N350" s="37" t="e">
        <f t="shared" si="123"/>
        <v>#DIV/0!</v>
      </c>
      <c r="O350" s="37" t="e">
        <f t="shared" si="123"/>
        <v>#DIV/0!</v>
      </c>
      <c r="P350" s="37" t="e">
        <f t="shared" si="123"/>
        <v>#DIV/0!</v>
      </c>
      <c r="Q350" s="669" t="e">
        <f t="shared" ref="Q350" si="124">SUM(Q348:Q349)</f>
        <v>#DIV/0!</v>
      </c>
      <c r="R350" s="37"/>
      <c r="S350" s="37"/>
      <c r="T350" s="244"/>
      <c r="U350" s="244"/>
      <c r="V350" s="244"/>
      <c r="W350" s="244"/>
      <c r="X350" s="244"/>
      <c r="Y350" s="244"/>
      <c r="Z350" s="244"/>
      <c r="AA350" s="244"/>
      <c r="AB350" s="244"/>
      <c r="AC350" s="244"/>
      <c r="AD350" s="244"/>
      <c r="AE350" s="244"/>
      <c r="AF350" s="244"/>
      <c r="AG350" s="244"/>
      <c r="AH350" s="244"/>
      <c r="AI350" s="244"/>
      <c r="AJ350" s="244"/>
      <c r="AK350" s="244"/>
      <c r="AL350" s="244"/>
      <c r="AM350" s="244"/>
      <c r="AN350" s="244"/>
      <c r="AO350" s="244"/>
      <c r="AP350" s="244"/>
      <c r="AQ350" s="244"/>
      <c r="AR350" s="244"/>
      <c r="AS350" s="244"/>
      <c r="AT350" s="244"/>
      <c r="AU350" s="244"/>
    </row>
    <row r="351" spans="3:47" ht="16">
      <c r="C351" s="670" t="s">
        <v>198</v>
      </c>
      <c r="D351" s="330"/>
      <c r="E351" s="671"/>
      <c r="F351" s="671">
        <f t="shared" ref="F351:Q351" si="125">(F350/F$302)</f>
        <v>0</v>
      </c>
      <c r="G351" s="671" t="e">
        <f t="shared" si="125"/>
        <v>#DIV/0!</v>
      </c>
      <c r="H351" s="671" t="e">
        <f t="shared" si="125"/>
        <v>#DIV/0!</v>
      </c>
      <c r="I351" s="671" t="e">
        <f t="shared" si="125"/>
        <v>#DIV/0!</v>
      </c>
      <c r="J351" s="671" t="e">
        <f t="shared" si="125"/>
        <v>#DIV/0!</v>
      </c>
      <c r="K351" s="671" t="e">
        <f t="shared" si="125"/>
        <v>#DIV/0!</v>
      </c>
      <c r="L351" s="671" t="e">
        <f t="shared" si="125"/>
        <v>#DIV/0!</v>
      </c>
      <c r="M351" s="671" t="e">
        <f t="shared" si="125"/>
        <v>#DIV/0!</v>
      </c>
      <c r="N351" s="671" t="e">
        <f t="shared" si="125"/>
        <v>#DIV/0!</v>
      </c>
      <c r="O351" s="671" t="e">
        <f t="shared" si="125"/>
        <v>#DIV/0!</v>
      </c>
      <c r="P351" s="671" t="e">
        <f t="shared" si="125"/>
        <v>#DIV/0!</v>
      </c>
      <c r="Q351" s="672" t="e">
        <f t="shared" si="125"/>
        <v>#DIV/0!</v>
      </c>
      <c r="R351" s="330"/>
      <c r="S351" s="330"/>
      <c r="T351" s="331"/>
      <c r="U351" s="331"/>
      <c r="V351" s="331"/>
      <c r="W351" s="331"/>
      <c r="X351" s="331"/>
      <c r="Y351" s="331"/>
      <c r="Z351" s="331"/>
      <c r="AA351" s="331"/>
      <c r="AB351" s="331"/>
      <c r="AC351" s="331"/>
      <c r="AD351" s="331"/>
      <c r="AE351" s="331"/>
      <c r="AF351" s="331"/>
      <c r="AG351" s="331"/>
      <c r="AH351" s="331"/>
      <c r="AI351" s="331"/>
      <c r="AJ351" s="331"/>
      <c r="AK351" s="331"/>
      <c r="AL351" s="331"/>
      <c r="AM351" s="331"/>
      <c r="AN351" s="331"/>
      <c r="AO351" s="331"/>
      <c r="AP351" s="331"/>
      <c r="AQ351" s="331"/>
      <c r="AR351" s="331"/>
      <c r="AS351" s="331"/>
      <c r="AT351" s="331"/>
      <c r="AU351" s="331"/>
    </row>
    <row r="352" spans="3:47" ht="16">
      <c r="C352" s="668" t="s">
        <v>199</v>
      </c>
      <c r="D352" s="37"/>
      <c r="E352" s="37"/>
      <c r="F352" s="37">
        <f>F351*HLOOKUP((F342+F345),$F301:$AU302,2,FALSE)</f>
        <v>0</v>
      </c>
      <c r="G352" s="37" t="e">
        <f t="shared" ref="G352:Q352" si="126">G351*HLOOKUP((G342+G345),$F301:$AU302,2,FALSE)</f>
        <v>#DIV/0!</v>
      </c>
      <c r="H352" s="37" t="e">
        <f t="shared" si="126"/>
        <v>#DIV/0!</v>
      </c>
      <c r="I352" s="37" t="e">
        <f t="shared" si="126"/>
        <v>#DIV/0!</v>
      </c>
      <c r="J352" s="37" t="e">
        <f t="shared" si="126"/>
        <v>#DIV/0!</v>
      </c>
      <c r="K352" s="37" t="e">
        <f t="shared" si="126"/>
        <v>#DIV/0!</v>
      </c>
      <c r="L352" s="37" t="e">
        <f t="shared" si="126"/>
        <v>#DIV/0!</v>
      </c>
      <c r="M352" s="37" t="e">
        <f t="shared" si="126"/>
        <v>#DIV/0!</v>
      </c>
      <c r="N352" s="37" t="e">
        <f t="shared" si="126"/>
        <v>#DIV/0!</v>
      </c>
      <c r="O352" s="37" t="e">
        <f t="shared" si="126"/>
        <v>#DIV/0!</v>
      </c>
      <c r="P352" s="37" t="e">
        <f t="shared" si="126"/>
        <v>#DIV/0!</v>
      </c>
      <c r="Q352" s="669" t="e">
        <f t="shared" si="126"/>
        <v>#DIV/0!</v>
      </c>
      <c r="R352" s="283"/>
      <c r="S352" s="283"/>
      <c r="T352" s="182"/>
      <c r="U352" s="182"/>
      <c r="V352" s="182"/>
      <c r="W352" s="182"/>
      <c r="X352" s="182"/>
      <c r="Y352" s="182"/>
      <c r="Z352" s="182"/>
      <c r="AA352" s="182"/>
      <c r="AB352" s="182"/>
      <c r="AC352" s="182"/>
      <c r="AD352" s="182"/>
      <c r="AE352" s="182"/>
      <c r="AF352" s="182"/>
      <c r="AG352" s="182"/>
      <c r="AH352" s="182"/>
      <c r="AI352" s="182"/>
      <c r="AJ352" s="182"/>
      <c r="AK352" s="182"/>
      <c r="AL352" s="182"/>
      <c r="AM352" s="182"/>
      <c r="AN352" s="182"/>
      <c r="AO352" s="182"/>
      <c r="AP352" s="182"/>
      <c r="AQ352" s="182"/>
      <c r="AR352" s="182"/>
      <c r="AS352" s="182"/>
      <c r="AT352" s="182"/>
      <c r="AU352" s="182"/>
    </row>
    <row r="353" spans="3:47">
      <c r="C353" s="664"/>
      <c r="D353" s="283"/>
      <c r="E353" s="283"/>
      <c r="F353" s="283"/>
      <c r="G353" s="283"/>
      <c r="H353" s="283"/>
      <c r="I353" s="283"/>
      <c r="J353" s="283"/>
      <c r="K353" s="283"/>
      <c r="L353" s="283"/>
      <c r="M353" s="283"/>
      <c r="N353" s="283"/>
      <c r="O353" s="283"/>
      <c r="P353" s="283"/>
      <c r="Q353" s="667"/>
      <c r="R353" s="283"/>
      <c r="S353" s="283"/>
      <c r="T353" s="182"/>
      <c r="U353" s="182"/>
      <c r="V353" s="182"/>
      <c r="W353" s="182"/>
      <c r="X353" s="182"/>
      <c r="Y353" s="182"/>
      <c r="Z353" s="182"/>
      <c r="AA353" s="182"/>
      <c r="AB353" s="182"/>
      <c r="AC353" s="182"/>
      <c r="AD353" s="182"/>
      <c r="AE353" s="182"/>
      <c r="AF353" s="182"/>
      <c r="AG353" s="182"/>
      <c r="AH353" s="182"/>
      <c r="AI353" s="182"/>
      <c r="AJ353" s="182"/>
      <c r="AK353" s="182"/>
      <c r="AL353" s="182"/>
      <c r="AM353" s="182"/>
      <c r="AN353" s="182"/>
      <c r="AO353" s="182"/>
      <c r="AP353" s="182"/>
      <c r="AQ353" s="182"/>
      <c r="AR353" s="182"/>
      <c r="AS353" s="182"/>
      <c r="AT353" s="182"/>
      <c r="AU353" s="182"/>
    </row>
    <row r="354" spans="3:47" ht="16">
      <c r="C354" s="664" t="s">
        <v>184</v>
      </c>
      <c r="D354" s="283"/>
      <c r="E354" s="313"/>
      <c r="F354" s="313">
        <f t="shared" ref="F354:Q354" si="127">NPV(F$344+3%,F357:F365,(F366+F352))-F350</f>
        <v>0</v>
      </c>
      <c r="G354" s="313" t="e">
        <f t="shared" si="127"/>
        <v>#DIV/0!</v>
      </c>
      <c r="H354" s="313" t="e">
        <f t="shared" si="127"/>
        <v>#DIV/0!</v>
      </c>
      <c r="I354" s="313" t="e">
        <f t="shared" si="127"/>
        <v>#DIV/0!</v>
      </c>
      <c r="J354" s="313" t="e">
        <f t="shared" si="127"/>
        <v>#DIV/0!</v>
      </c>
      <c r="K354" s="313" t="e">
        <f t="shared" si="127"/>
        <v>#DIV/0!</v>
      </c>
      <c r="L354" s="313" t="e">
        <f t="shared" si="127"/>
        <v>#DIV/0!</v>
      </c>
      <c r="M354" s="313" t="e">
        <f t="shared" si="127"/>
        <v>#DIV/0!</v>
      </c>
      <c r="N354" s="313" t="e">
        <f t="shared" si="127"/>
        <v>#DIV/0!</v>
      </c>
      <c r="O354" s="313" t="e">
        <f t="shared" si="127"/>
        <v>#DIV/0!</v>
      </c>
      <c r="P354" s="313" t="e">
        <f t="shared" si="127"/>
        <v>#DIV/0!</v>
      </c>
      <c r="Q354" s="683" t="e">
        <f t="shared" si="127"/>
        <v>#DIV/0!</v>
      </c>
      <c r="R354" s="283"/>
      <c r="S354" s="283"/>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c r="AP354" s="182"/>
      <c r="AQ354" s="182"/>
      <c r="AR354" s="182"/>
      <c r="AS354" s="182"/>
      <c r="AT354" s="182"/>
      <c r="AU354" s="182"/>
    </row>
    <row r="355" spans="3:47">
      <c r="C355" s="664"/>
      <c r="D355" s="182"/>
      <c r="E355" s="248"/>
      <c r="F355" s="182"/>
      <c r="G355" s="182"/>
      <c r="H355" s="182"/>
      <c r="I355" s="182"/>
      <c r="J355" s="182"/>
      <c r="K355" s="182"/>
      <c r="L355" s="182"/>
      <c r="M355" s="182"/>
      <c r="N355" s="182"/>
      <c r="O355" s="182"/>
      <c r="P355" s="182"/>
      <c r="Q355" s="678"/>
      <c r="R355" s="283"/>
      <c r="S355" s="283"/>
      <c r="T355" s="182"/>
      <c r="U355" s="182"/>
      <c r="V355" s="182"/>
      <c r="W355" s="182"/>
      <c r="X355" s="182"/>
      <c r="Y355" s="182"/>
      <c r="Z355" s="182"/>
      <c r="AA355" s="182"/>
      <c r="AB355" s="182"/>
      <c r="AC355" s="182"/>
      <c r="AD355" s="182"/>
      <c r="AE355" s="182"/>
      <c r="AF355" s="182"/>
      <c r="AG355" s="182"/>
      <c r="AH355" s="182"/>
      <c r="AI355" s="182"/>
      <c r="AJ355" s="182"/>
      <c r="AK355" s="182"/>
      <c r="AL355" s="182"/>
      <c r="AM355" s="182"/>
      <c r="AN355" s="182"/>
      <c r="AO355" s="182"/>
      <c r="AP355" s="182"/>
      <c r="AQ355" s="182"/>
      <c r="AR355" s="182"/>
      <c r="AS355" s="182"/>
      <c r="AT355" s="182"/>
      <c r="AU355" s="182"/>
    </row>
    <row r="356" spans="3:47">
      <c r="C356" s="664">
        <v>0</v>
      </c>
      <c r="D356" s="283"/>
      <c r="E356" s="283"/>
      <c r="F356" s="283"/>
      <c r="G356" s="283"/>
      <c r="H356" s="283"/>
      <c r="I356" s="283"/>
      <c r="J356" s="283"/>
      <c r="K356" s="283"/>
      <c r="L356" s="283"/>
      <c r="M356" s="283"/>
      <c r="N356" s="283"/>
      <c r="O356" s="283"/>
      <c r="P356" s="283"/>
      <c r="Q356" s="667"/>
      <c r="R356" s="283"/>
      <c r="S356" s="283"/>
      <c r="T356" s="182"/>
      <c r="U356" s="182"/>
      <c r="V356" s="182"/>
      <c r="W356" s="182"/>
      <c r="X356" s="182"/>
      <c r="Y356" s="182"/>
      <c r="Z356" s="182"/>
      <c r="AA356" s="182"/>
      <c r="AB356" s="182"/>
      <c r="AC356" s="182"/>
      <c r="AD356" s="182"/>
      <c r="AE356" s="182"/>
      <c r="AF356" s="182"/>
      <c r="AG356" s="182"/>
      <c r="AH356" s="182"/>
      <c r="AI356" s="182"/>
      <c r="AJ356" s="182"/>
      <c r="AK356" s="182"/>
      <c r="AL356" s="182"/>
      <c r="AM356" s="182"/>
      <c r="AN356" s="182"/>
      <c r="AO356" s="182"/>
      <c r="AP356" s="182"/>
      <c r="AQ356" s="182"/>
      <c r="AR356" s="182"/>
      <c r="AS356" s="182"/>
      <c r="AT356" s="182"/>
      <c r="AU356" s="182"/>
    </row>
    <row r="357" spans="3:47">
      <c r="C357" s="664">
        <v>1</v>
      </c>
      <c r="D357" s="283"/>
      <c r="E357" s="283"/>
      <c r="F357" s="283">
        <f t="shared" ref="F357:Q357" si="128">F351*F343*G$302</f>
        <v>0</v>
      </c>
      <c r="G357" s="283" t="e">
        <f t="shared" si="128"/>
        <v>#DIV/0!</v>
      </c>
      <c r="H357" s="283" t="e">
        <f t="shared" si="128"/>
        <v>#DIV/0!</v>
      </c>
      <c r="I357" s="283" t="e">
        <f t="shared" si="128"/>
        <v>#DIV/0!</v>
      </c>
      <c r="J357" s="283" t="e">
        <f t="shared" si="128"/>
        <v>#DIV/0!</v>
      </c>
      <c r="K357" s="283" t="e">
        <f t="shared" si="128"/>
        <v>#DIV/0!</v>
      </c>
      <c r="L357" s="283" t="e">
        <f t="shared" si="128"/>
        <v>#DIV/0!</v>
      </c>
      <c r="M357" s="283" t="e">
        <f t="shared" si="128"/>
        <v>#DIV/0!</v>
      </c>
      <c r="N357" s="283" t="e">
        <f t="shared" si="128"/>
        <v>#DIV/0!</v>
      </c>
      <c r="O357" s="283" t="e">
        <f t="shared" si="128"/>
        <v>#DIV/0!</v>
      </c>
      <c r="P357" s="283" t="e">
        <f t="shared" si="128"/>
        <v>#DIV/0!</v>
      </c>
      <c r="Q357" s="667" t="e">
        <f t="shared" si="128"/>
        <v>#DIV/0!</v>
      </c>
      <c r="R357" s="283"/>
      <c r="S357" s="283"/>
      <c r="T357" s="182"/>
      <c r="U357" s="182"/>
      <c r="V357" s="182"/>
      <c r="W357" s="182"/>
      <c r="X357" s="182"/>
      <c r="Y357" s="182"/>
      <c r="Z357" s="182"/>
      <c r="AA357" s="182"/>
      <c r="AB357" s="182"/>
      <c r="AC357" s="182"/>
      <c r="AD357" s="182"/>
      <c r="AE357" s="182"/>
      <c r="AF357" s="182"/>
      <c r="AG357" s="182"/>
      <c r="AH357" s="182"/>
      <c r="AI357" s="182"/>
      <c r="AJ357" s="182"/>
      <c r="AK357" s="182"/>
      <c r="AL357" s="182"/>
      <c r="AM357" s="182"/>
      <c r="AN357" s="182"/>
      <c r="AO357" s="182"/>
      <c r="AP357" s="182"/>
      <c r="AQ357" s="182"/>
      <c r="AR357" s="182"/>
      <c r="AS357" s="182"/>
      <c r="AT357" s="182"/>
      <c r="AU357" s="182"/>
    </row>
    <row r="358" spans="3:47">
      <c r="C358" s="664">
        <v>2</v>
      </c>
      <c r="D358" s="283"/>
      <c r="E358" s="283"/>
      <c r="F358" s="283">
        <f t="shared" ref="F358:P358" si="129">F351*F343*H$302</f>
        <v>0</v>
      </c>
      <c r="G358" s="283" t="e">
        <f t="shared" si="129"/>
        <v>#DIV/0!</v>
      </c>
      <c r="H358" s="283" t="e">
        <f t="shared" si="129"/>
        <v>#DIV/0!</v>
      </c>
      <c r="I358" s="283" t="e">
        <f t="shared" si="129"/>
        <v>#DIV/0!</v>
      </c>
      <c r="J358" s="283" t="e">
        <f t="shared" si="129"/>
        <v>#DIV/0!</v>
      </c>
      <c r="K358" s="283" t="e">
        <f t="shared" si="129"/>
        <v>#DIV/0!</v>
      </c>
      <c r="L358" s="283" t="e">
        <f t="shared" si="129"/>
        <v>#DIV/0!</v>
      </c>
      <c r="M358" s="283" t="e">
        <f t="shared" si="129"/>
        <v>#DIV/0!</v>
      </c>
      <c r="N358" s="283" t="e">
        <f t="shared" si="129"/>
        <v>#DIV/0!</v>
      </c>
      <c r="O358" s="283" t="e">
        <f t="shared" si="129"/>
        <v>#DIV/0!</v>
      </c>
      <c r="P358" s="283" t="e">
        <f t="shared" si="129"/>
        <v>#DIV/0!</v>
      </c>
      <c r="Q358" s="667" t="e">
        <f>Q351*Q343*S$302</f>
        <v>#DIV/0!</v>
      </c>
      <c r="R358" s="283"/>
      <c r="S358" s="283"/>
      <c r="T358" s="182"/>
      <c r="U358" s="182"/>
      <c r="V358" s="182"/>
      <c r="W358" s="182"/>
      <c r="X358" s="182"/>
      <c r="Y358" s="182"/>
      <c r="Z358" s="182"/>
      <c r="AA358" s="182"/>
      <c r="AB358" s="182"/>
      <c r="AC358" s="182"/>
      <c r="AD358" s="182"/>
      <c r="AE358" s="182"/>
      <c r="AF358" s="182"/>
      <c r="AG358" s="182"/>
      <c r="AH358" s="182"/>
      <c r="AI358" s="182"/>
      <c r="AJ358" s="182"/>
      <c r="AK358" s="182"/>
      <c r="AL358" s="182"/>
      <c r="AM358" s="182"/>
      <c r="AN358" s="182"/>
      <c r="AO358" s="182"/>
      <c r="AP358" s="182"/>
      <c r="AQ358" s="182"/>
      <c r="AR358" s="182"/>
      <c r="AS358" s="182"/>
      <c r="AT358" s="182"/>
      <c r="AU358" s="182"/>
    </row>
    <row r="359" spans="3:47">
      <c r="C359" s="664">
        <v>3</v>
      </c>
      <c r="D359" s="283"/>
      <c r="E359" s="283"/>
      <c r="F359" s="283">
        <f t="shared" ref="F359:O359" si="130">F351*F343*I$302</f>
        <v>0</v>
      </c>
      <c r="G359" s="283" t="e">
        <f t="shared" si="130"/>
        <v>#DIV/0!</v>
      </c>
      <c r="H359" s="283" t="e">
        <f t="shared" si="130"/>
        <v>#DIV/0!</v>
      </c>
      <c r="I359" s="283" t="e">
        <f t="shared" si="130"/>
        <v>#DIV/0!</v>
      </c>
      <c r="J359" s="283" t="e">
        <f t="shared" si="130"/>
        <v>#DIV/0!</v>
      </c>
      <c r="K359" s="283" t="e">
        <f t="shared" si="130"/>
        <v>#DIV/0!</v>
      </c>
      <c r="L359" s="283" t="e">
        <f t="shared" si="130"/>
        <v>#DIV/0!</v>
      </c>
      <c r="M359" s="283" t="e">
        <f t="shared" si="130"/>
        <v>#DIV/0!</v>
      </c>
      <c r="N359" s="283" t="e">
        <f t="shared" si="130"/>
        <v>#DIV/0!</v>
      </c>
      <c r="O359" s="283" t="e">
        <f t="shared" si="130"/>
        <v>#DIV/0!</v>
      </c>
      <c r="P359" s="283" t="e">
        <f>P351*P343*S$302</f>
        <v>#DIV/0!</v>
      </c>
      <c r="Q359" s="667" t="e">
        <f>Q351*Q343*T$302</f>
        <v>#DIV/0!</v>
      </c>
      <c r="R359" s="283"/>
      <c r="S359" s="283"/>
      <c r="T359" s="182"/>
      <c r="U359" s="182"/>
      <c r="V359" s="182"/>
      <c r="W359" s="182"/>
      <c r="X359" s="182"/>
      <c r="Y359" s="182"/>
      <c r="Z359" s="182"/>
      <c r="AA359" s="182"/>
      <c r="AB359" s="182"/>
      <c r="AC359" s="182"/>
      <c r="AD359" s="182"/>
      <c r="AE359" s="182"/>
      <c r="AF359" s="182"/>
      <c r="AG359" s="182"/>
      <c r="AH359" s="182"/>
      <c r="AI359" s="182"/>
      <c r="AJ359" s="182"/>
      <c r="AK359" s="182"/>
      <c r="AL359" s="182"/>
      <c r="AM359" s="182"/>
      <c r="AN359" s="182"/>
      <c r="AO359" s="182"/>
      <c r="AP359" s="182"/>
      <c r="AQ359" s="182"/>
      <c r="AR359" s="182"/>
      <c r="AS359" s="182"/>
      <c r="AT359" s="182"/>
      <c r="AU359" s="182"/>
    </row>
    <row r="360" spans="3:47">
      <c r="C360" s="664">
        <v>4</v>
      </c>
      <c r="D360" s="283"/>
      <c r="E360" s="283"/>
      <c r="F360" s="283">
        <f t="shared" ref="F360:N360" si="131">F351*F343*J$302</f>
        <v>0</v>
      </c>
      <c r="G360" s="283" t="e">
        <f t="shared" si="131"/>
        <v>#DIV/0!</v>
      </c>
      <c r="H360" s="283" t="e">
        <f t="shared" si="131"/>
        <v>#DIV/0!</v>
      </c>
      <c r="I360" s="283" t="e">
        <f t="shared" si="131"/>
        <v>#DIV/0!</v>
      </c>
      <c r="J360" s="283" t="e">
        <f t="shared" si="131"/>
        <v>#DIV/0!</v>
      </c>
      <c r="K360" s="283" t="e">
        <f t="shared" si="131"/>
        <v>#DIV/0!</v>
      </c>
      <c r="L360" s="283" t="e">
        <f t="shared" si="131"/>
        <v>#DIV/0!</v>
      </c>
      <c r="M360" s="283" t="e">
        <f t="shared" si="131"/>
        <v>#DIV/0!</v>
      </c>
      <c r="N360" s="283" t="e">
        <f t="shared" si="131"/>
        <v>#DIV/0!</v>
      </c>
      <c r="O360" s="283" t="e">
        <f>O351*O343*S$302</f>
        <v>#DIV/0!</v>
      </c>
      <c r="P360" s="283" t="e">
        <f>P351*P343*T$302</f>
        <v>#DIV/0!</v>
      </c>
      <c r="Q360" s="667" t="e">
        <f>Q351*Q343*U$302</f>
        <v>#DIV/0!</v>
      </c>
      <c r="R360" s="283"/>
      <c r="S360" s="283"/>
      <c r="T360" s="182"/>
      <c r="U360" s="182"/>
      <c r="V360" s="182"/>
      <c r="W360" s="182"/>
      <c r="X360" s="182"/>
      <c r="Y360" s="182"/>
      <c r="Z360" s="182"/>
      <c r="AA360" s="182"/>
      <c r="AB360" s="182"/>
      <c r="AC360" s="182"/>
      <c r="AD360" s="182"/>
      <c r="AE360" s="182"/>
      <c r="AF360" s="182"/>
      <c r="AG360" s="182"/>
      <c r="AH360" s="182"/>
      <c r="AI360" s="182"/>
      <c r="AJ360" s="182"/>
      <c r="AK360" s="182"/>
      <c r="AL360" s="182"/>
      <c r="AM360" s="182"/>
      <c r="AN360" s="182"/>
      <c r="AO360" s="182"/>
      <c r="AP360" s="182"/>
      <c r="AQ360" s="182"/>
      <c r="AR360" s="182"/>
      <c r="AS360" s="182"/>
      <c r="AT360" s="182"/>
      <c r="AU360" s="182"/>
    </row>
    <row r="361" spans="3:47">
      <c r="C361" s="664">
        <v>5</v>
      </c>
      <c r="D361" s="283"/>
      <c r="E361" s="283"/>
      <c r="F361" s="283">
        <f t="shared" ref="F361:M361" si="132">F351*F343*K$302</f>
        <v>0</v>
      </c>
      <c r="G361" s="283" t="e">
        <f t="shared" si="132"/>
        <v>#DIV/0!</v>
      </c>
      <c r="H361" s="283" t="e">
        <f t="shared" si="132"/>
        <v>#DIV/0!</v>
      </c>
      <c r="I361" s="283" t="e">
        <f t="shared" si="132"/>
        <v>#DIV/0!</v>
      </c>
      <c r="J361" s="283" t="e">
        <f t="shared" si="132"/>
        <v>#DIV/0!</v>
      </c>
      <c r="K361" s="283" t="e">
        <f t="shared" si="132"/>
        <v>#DIV/0!</v>
      </c>
      <c r="L361" s="283" t="e">
        <f t="shared" si="132"/>
        <v>#DIV/0!</v>
      </c>
      <c r="M361" s="283" t="e">
        <f t="shared" si="132"/>
        <v>#DIV/0!</v>
      </c>
      <c r="N361" s="283" t="e">
        <f>N351*N343*S$302</f>
        <v>#DIV/0!</v>
      </c>
      <c r="O361" s="283" t="e">
        <f>O351*O343*T$302</f>
        <v>#DIV/0!</v>
      </c>
      <c r="P361" s="283" t="e">
        <f>P351*P343*U$302</f>
        <v>#DIV/0!</v>
      </c>
      <c r="Q361" s="667" t="e">
        <f>Q351*Q343*V$302</f>
        <v>#DIV/0!</v>
      </c>
      <c r="R361" s="283"/>
      <c r="S361" s="283"/>
      <c r="T361" s="182"/>
      <c r="U361" s="182"/>
      <c r="V361" s="182"/>
      <c r="W361" s="182"/>
      <c r="X361" s="182"/>
      <c r="Y361" s="182"/>
      <c r="Z361" s="182"/>
      <c r="AA361" s="182"/>
      <c r="AB361" s="182"/>
      <c r="AC361" s="182"/>
      <c r="AD361" s="182"/>
      <c r="AE361" s="182"/>
      <c r="AF361" s="182"/>
      <c r="AG361" s="182"/>
      <c r="AH361" s="182"/>
      <c r="AI361" s="182"/>
      <c r="AJ361" s="182"/>
      <c r="AK361" s="182"/>
      <c r="AL361" s="182"/>
      <c r="AM361" s="182"/>
      <c r="AN361" s="182"/>
      <c r="AO361" s="182"/>
      <c r="AP361" s="182"/>
      <c r="AQ361" s="182"/>
      <c r="AR361" s="182"/>
      <c r="AS361" s="182"/>
      <c r="AT361" s="182"/>
      <c r="AU361" s="182"/>
    </row>
    <row r="362" spans="3:47">
      <c r="C362" s="664">
        <v>6</v>
      </c>
      <c r="D362" s="283"/>
      <c r="E362" s="283"/>
      <c r="F362" s="283">
        <f>F351*F343*L$302</f>
        <v>0</v>
      </c>
      <c r="G362" s="283" t="e">
        <f>G351*G343*M$302</f>
        <v>#DIV/0!</v>
      </c>
      <c r="H362" s="283" t="e">
        <f>H351*H343*N$302</f>
        <v>#DIV/0!</v>
      </c>
      <c r="I362" s="283" t="e">
        <f t="shared" ref="I362:L362" si="133">I351*I343*O$302</f>
        <v>#DIV/0!</v>
      </c>
      <c r="J362" s="283" t="e">
        <f t="shared" si="133"/>
        <v>#DIV/0!</v>
      </c>
      <c r="K362" s="283" t="e">
        <f t="shared" si="133"/>
        <v>#DIV/0!</v>
      </c>
      <c r="L362" s="283" t="e">
        <f t="shared" si="133"/>
        <v>#DIV/0!</v>
      </c>
      <c r="M362" s="283" t="e">
        <f>M351*M343*S$302</f>
        <v>#DIV/0!</v>
      </c>
      <c r="N362" s="283" t="e">
        <f>N351*N343*T$302</f>
        <v>#DIV/0!</v>
      </c>
      <c r="O362" s="283" t="e">
        <f>O351*O343*U$302</f>
        <v>#DIV/0!</v>
      </c>
      <c r="P362" s="283" t="e">
        <f>P351*P343*V$302</f>
        <v>#DIV/0!</v>
      </c>
      <c r="Q362" s="667" t="e">
        <f>Q351*Q343*W$302</f>
        <v>#DIV/0!</v>
      </c>
      <c r="R362" s="283"/>
      <c r="S362" s="283"/>
      <c r="T362" s="182"/>
      <c r="U362" s="182"/>
      <c r="V362" s="182"/>
      <c r="W362" s="182"/>
      <c r="X362" s="182"/>
      <c r="Y362" s="182"/>
      <c r="Z362" s="182"/>
      <c r="AA362" s="182"/>
      <c r="AB362" s="182"/>
      <c r="AC362" s="182"/>
      <c r="AD362" s="182"/>
      <c r="AE362" s="182"/>
      <c r="AF362" s="182"/>
      <c r="AG362" s="182"/>
      <c r="AH362" s="182"/>
      <c r="AI362" s="182"/>
      <c r="AJ362" s="182"/>
      <c r="AK362" s="182"/>
      <c r="AL362" s="182"/>
      <c r="AM362" s="182"/>
      <c r="AN362" s="182"/>
      <c r="AO362" s="182"/>
      <c r="AP362" s="182"/>
      <c r="AQ362" s="182"/>
      <c r="AR362" s="182"/>
      <c r="AS362" s="182"/>
      <c r="AT362" s="182"/>
      <c r="AU362" s="182"/>
    </row>
    <row r="363" spans="3:47">
      <c r="C363" s="664">
        <v>7</v>
      </c>
      <c r="D363" s="283"/>
      <c r="E363" s="283"/>
      <c r="F363" s="283">
        <f>F351*F343*M$302</f>
        <v>0</v>
      </c>
      <c r="G363" s="283" t="e">
        <f>G351*G343*N$302</f>
        <v>#DIV/0!</v>
      </c>
      <c r="H363" s="283" t="e">
        <f>H351*H343*O$302</f>
        <v>#DIV/0!</v>
      </c>
      <c r="I363" s="283" t="e">
        <f t="shared" ref="I363:K363" si="134">I351*I343*P$302</f>
        <v>#DIV/0!</v>
      </c>
      <c r="J363" s="283" t="e">
        <f t="shared" si="134"/>
        <v>#DIV/0!</v>
      </c>
      <c r="K363" s="283" t="e">
        <f t="shared" si="134"/>
        <v>#DIV/0!</v>
      </c>
      <c r="L363" s="283" t="e">
        <f t="shared" ref="L363:Q363" si="135">L351*L343*S$302</f>
        <v>#DIV/0!</v>
      </c>
      <c r="M363" s="283" t="e">
        <f t="shared" si="135"/>
        <v>#DIV/0!</v>
      </c>
      <c r="N363" s="283" t="e">
        <f t="shared" si="135"/>
        <v>#DIV/0!</v>
      </c>
      <c r="O363" s="283" t="e">
        <f t="shared" si="135"/>
        <v>#DIV/0!</v>
      </c>
      <c r="P363" s="283" t="e">
        <f t="shared" si="135"/>
        <v>#DIV/0!</v>
      </c>
      <c r="Q363" s="667" t="e">
        <f t="shared" si="135"/>
        <v>#DIV/0!</v>
      </c>
      <c r="R363" s="283"/>
      <c r="S363" s="283"/>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c r="AR363" s="182"/>
      <c r="AS363" s="182"/>
      <c r="AT363" s="182"/>
      <c r="AU363" s="182"/>
    </row>
    <row r="364" spans="3:47">
      <c r="C364" s="664">
        <v>8</v>
      </c>
      <c r="D364" s="283"/>
      <c r="E364" s="283"/>
      <c r="F364" s="283">
        <f>F351*F343*N$302</f>
        <v>0</v>
      </c>
      <c r="G364" s="283" t="e">
        <f>G351*G343*O$302</f>
        <v>#DIV/0!</v>
      </c>
      <c r="H364" s="283" t="e">
        <f t="shared" ref="H364:J364" si="136">H351*H343*P$302</f>
        <v>#DIV/0!</v>
      </c>
      <c r="I364" s="283" t="e">
        <f t="shared" si="136"/>
        <v>#DIV/0!</v>
      </c>
      <c r="J364" s="283" t="e">
        <f t="shared" si="136"/>
        <v>#DIV/0!</v>
      </c>
      <c r="K364" s="283" t="e">
        <f t="shared" ref="K364:Q364" si="137">K351*K343*S$302</f>
        <v>#DIV/0!</v>
      </c>
      <c r="L364" s="283" t="e">
        <f t="shared" si="137"/>
        <v>#DIV/0!</v>
      </c>
      <c r="M364" s="283" t="e">
        <f t="shared" si="137"/>
        <v>#DIV/0!</v>
      </c>
      <c r="N364" s="283" t="e">
        <f t="shared" si="137"/>
        <v>#DIV/0!</v>
      </c>
      <c r="O364" s="283" t="e">
        <f t="shared" si="137"/>
        <v>#DIV/0!</v>
      </c>
      <c r="P364" s="283" t="e">
        <f t="shared" si="137"/>
        <v>#DIV/0!</v>
      </c>
      <c r="Q364" s="667" t="e">
        <f t="shared" si="137"/>
        <v>#DIV/0!</v>
      </c>
      <c r="R364" s="283"/>
      <c r="S364" s="283"/>
      <c r="T364" s="182"/>
      <c r="U364" s="182"/>
      <c r="V364" s="182"/>
      <c r="W364" s="182"/>
      <c r="X364" s="182"/>
      <c r="Y364" s="182"/>
      <c r="Z364" s="182"/>
      <c r="AA364" s="182"/>
      <c r="AB364" s="182"/>
      <c r="AC364" s="182"/>
      <c r="AD364" s="182"/>
      <c r="AE364" s="182"/>
      <c r="AF364" s="182"/>
      <c r="AG364" s="182"/>
      <c r="AH364" s="182"/>
      <c r="AI364" s="182"/>
      <c r="AJ364" s="182"/>
      <c r="AK364" s="182"/>
      <c r="AL364" s="182"/>
      <c r="AM364" s="182"/>
      <c r="AN364" s="182"/>
      <c r="AO364" s="182"/>
      <c r="AP364" s="182"/>
      <c r="AQ364" s="182"/>
      <c r="AR364" s="182"/>
      <c r="AS364" s="182"/>
      <c r="AT364" s="182"/>
      <c r="AU364" s="182"/>
    </row>
    <row r="365" spans="3:47">
      <c r="C365" s="664">
        <v>9</v>
      </c>
      <c r="D365" s="283"/>
      <c r="E365" s="283"/>
      <c r="F365" s="283">
        <f>F351*F343*O$302</f>
        <v>0</v>
      </c>
      <c r="G365" s="283" t="e">
        <f>G351*G343*P$302</f>
        <v>#DIV/0!</v>
      </c>
      <c r="H365" s="283" t="e">
        <f t="shared" ref="H365:I365" si="138">H351*H343*Q$302</f>
        <v>#DIV/0!</v>
      </c>
      <c r="I365" s="283" t="e">
        <f t="shared" si="138"/>
        <v>#DIV/0!</v>
      </c>
      <c r="J365" s="283" t="e">
        <f t="shared" ref="J365:Q365" si="139">J351*J343*S$302</f>
        <v>#DIV/0!</v>
      </c>
      <c r="K365" s="283" t="e">
        <f t="shared" si="139"/>
        <v>#DIV/0!</v>
      </c>
      <c r="L365" s="283" t="e">
        <f t="shared" si="139"/>
        <v>#DIV/0!</v>
      </c>
      <c r="M365" s="283" t="e">
        <f t="shared" si="139"/>
        <v>#DIV/0!</v>
      </c>
      <c r="N365" s="283" t="e">
        <f t="shared" si="139"/>
        <v>#DIV/0!</v>
      </c>
      <c r="O365" s="283" t="e">
        <f t="shared" si="139"/>
        <v>#DIV/0!</v>
      </c>
      <c r="P365" s="283" t="e">
        <f t="shared" si="139"/>
        <v>#DIV/0!</v>
      </c>
      <c r="Q365" s="667" t="e">
        <f t="shared" si="139"/>
        <v>#DIV/0!</v>
      </c>
      <c r="R365" s="283"/>
      <c r="S365" s="283"/>
      <c r="T365" s="182"/>
      <c r="U365" s="182"/>
      <c r="V365" s="182"/>
      <c r="W365" s="182"/>
      <c r="X365" s="182"/>
      <c r="Y365" s="182"/>
      <c r="Z365" s="182"/>
      <c r="AA365" s="182"/>
      <c r="AB365" s="182"/>
      <c r="AC365" s="182"/>
      <c r="AD365" s="182"/>
      <c r="AE365" s="182"/>
      <c r="AF365" s="182"/>
      <c r="AG365" s="182"/>
      <c r="AH365" s="182"/>
      <c r="AI365" s="182"/>
      <c r="AJ365" s="182"/>
      <c r="AK365" s="182"/>
      <c r="AL365" s="182"/>
      <c r="AM365" s="182"/>
      <c r="AN365" s="182"/>
      <c r="AO365" s="182"/>
      <c r="AP365" s="182"/>
      <c r="AQ365" s="182"/>
      <c r="AR365" s="182"/>
      <c r="AS365" s="182"/>
      <c r="AT365" s="182"/>
      <c r="AU365" s="182"/>
    </row>
    <row r="366" spans="3:47">
      <c r="C366" s="664">
        <v>10</v>
      </c>
      <c r="D366" s="283"/>
      <c r="E366" s="283"/>
      <c r="F366" s="283">
        <f>F351*F343*P$302</f>
        <v>0</v>
      </c>
      <c r="G366" s="283" t="e">
        <f>G351*G343*Q$302</f>
        <v>#DIV/0!</v>
      </c>
      <c r="H366" s="283" t="e">
        <f t="shared" ref="H366" si="140">H351*H343*R$302</f>
        <v>#DIV/0!</v>
      </c>
      <c r="I366" s="283" t="e">
        <f t="shared" ref="I366:Q366" si="141">I351*I343*S$302</f>
        <v>#DIV/0!</v>
      </c>
      <c r="J366" s="283" t="e">
        <f t="shared" si="141"/>
        <v>#DIV/0!</v>
      </c>
      <c r="K366" s="283" t="e">
        <f t="shared" si="141"/>
        <v>#DIV/0!</v>
      </c>
      <c r="L366" s="283" t="e">
        <f t="shared" si="141"/>
        <v>#DIV/0!</v>
      </c>
      <c r="M366" s="283" t="e">
        <f t="shared" si="141"/>
        <v>#DIV/0!</v>
      </c>
      <c r="N366" s="283" t="e">
        <f t="shared" si="141"/>
        <v>#DIV/0!</v>
      </c>
      <c r="O366" s="283" t="e">
        <f t="shared" si="141"/>
        <v>#DIV/0!</v>
      </c>
      <c r="P366" s="283" t="e">
        <f t="shared" si="141"/>
        <v>#DIV/0!</v>
      </c>
      <c r="Q366" s="667" t="e">
        <f t="shared" si="141"/>
        <v>#DIV/0!</v>
      </c>
      <c r="R366" s="283"/>
      <c r="S366" s="283"/>
      <c r="T366" s="182"/>
      <c r="U366" s="182"/>
      <c r="V366" s="182"/>
      <c r="W366" s="182"/>
      <c r="X366" s="182"/>
      <c r="Y366" s="182"/>
      <c r="Z366" s="182"/>
      <c r="AA366" s="182"/>
      <c r="AB366" s="182"/>
      <c r="AC366" s="182"/>
      <c r="AD366" s="182"/>
      <c r="AE366" s="182"/>
      <c r="AF366" s="182"/>
      <c r="AG366" s="182"/>
      <c r="AH366" s="182"/>
      <c r="AI366" s="182"/>
      <c r="AJ366" s="182"/>
      <c r="AK366" s="182"/>
      <c r="AL366" s="182"/>
      <c r="AM366" s="182"/>
      <c r="AN366" s="182"/>
      <c r="AO366" s="182"/>
      <c r="AP366" s="182"/>
      <c r="AQ366" s="182"/>
      <c r="AR366" s="182"/>
      <c r="AS366" s="182"/>
      <c r="AT366" s="182"/>
      <c r="AU366" s="182"/>
    </row>
    <row r="367" spans="3:47">
      <c r="C367" s="664"/>
      <c r="D367" s="182"/>
      <c r="E367" s="182"/>
      <c r="F367" s="182"/>
      <c r="G367" s="182"/>
      <c r="H367" s="182"/>
      <c r="I367" s="182"/>
      <c r="J367" s="182"/>
      <c r="K367" s="182"/>
      <c r="L367" s="182"/>
      <c r="M367" s="182"/>
      <c r="N367" s="182"/>
      <c r="O367" s="182"/>
      <c r="P367" s="182"/>
      <c r="Q367" s="678"/>
      <c r="R367" s="283"/>
      <c r="S367" s="283"/>
      <c r="T367" s="182"/>
      <c r="U367" s="182"/>
      <c r="V367" s="182"/>
      <c r="W367" s="182"/>
      <c r="X367" s="182"/>
      <c r="Y367" s="182"/>
      <c r="Z367" s="182"/>
      <c r="AA367" s="182"/>
      <c r="AB367" s="182"/>
      <c r="AC367" s="182"/>
      <c r="AD367" s="182"/>
      <c r="AE367" s="182"/>
      <c r="AF367" s="182"/>
      <c r="AG367" s="182"/>
      <c r="AH367" s="182"/>
      <c r="AI367" s="182"/>
      <c r="AJ367" s="182"/>
      <c r="AK367" s="182"/>
      <c r="AL367" s="182"/>
      <c r="AM367" s="182"/>
      <c r="AN367" s="182"/>
      <c r="AO367" s="182"/>
      <c r="AP367" s="182"/>
      <c r="AQ367" s="182"/>
      <c r="AR367" s="182"/>
      <c r="AS367" s="182"/>
      <c r="AT367" s="182"/>
      <c r="AU367" s="182"/>
    </row>
    <row r="368" spans="3:47" ht="16">
      <c r="C368" s="664" t="s">
        <v>173</v>
      </c>
      <c r="D368" s="283"/>
      <c r="E368" s="283"/>
      <c r="F368" s="283">
        <f>E357+D358</f>
        <v>0</v>
      </c>
      <c r="G368" s="283">
        <f>F357+E358+D359</f>
        <v>0</v>
      </c>
      <c r="H368" s="283" t="e">
        <f>G357+F358+E359+D360</f>
        <v>#DIV/0!</v>
      </c>
      <c r="I368" s="283" t="e">
        <f>H357+G358+F359+E360+D361</f>
        <v>#DIV/0!</v>
      </c>
      <c r="J368" s="283" t="e">
        <f>I357+H358+G359+F360+E361+D362</f>
        <v>#DIV/0!</v>
      </c>
      <c r="K368" s="283" t="e">
        <f>J357+I358+H359+G360+F361+E362+D363</f>
        <v>#DIV/0!</v>
      </c>
      <c r="L368" s="283" t="e">
        <f>K357+J358+I359+H360+G361+F362+E363+D364</f>
        <v>#DIV/0!</v>
      </c>
      <c r="M368" s="283" t="e">
        <f>L357+K358+J359+I360+H361+G362+F363+E364+D365</f>
        <v>#DIV/0!</v>
      </c>
      <c r="N368" s="283" t="e">
        <f>M357+L358+K359+J360+I361+H362+G363+F364+E365+D366</f>
        <v>#DIV/0!</v>
      </c>
      <c r="O368" s="283" t="e">
        <f>N357+M358+L359+K360+J361+I362+H363+G364+F365+E366</f>
        <v>#DIV/0!</v>
      </c>
      <c r="P368" s="283" t="e">
        <f>O357+N358+M359+L360+K361+J362+I363+H364+G365+F366</f>
        <v>#DIV/0!</v>
      </c>
      <c r="Q368" s="667" t="e">
        <f>P357+O358+N359+M360+L361+K362+J363+I364+H365+G366</f>
        <v>#DIV/0!</v>
      </c>
      <c r="R368" s="283"/>
      <c r="S368" s="283"/>
      <c r="T368" s="182"/>
      <c r="U368" s="182"/>
      <c r="V368" s="182"/>
      <c r="W368" s="182"/>
      <c r="X368" s="182"/>
      <c r="Y368" s="182"/>
      <c r="Z368" s="182"/>
      <c r="AA368" s="182"/>
      <c r="AB368" s="182"/>
      <c r="AC368" s="182"/>
      <c r="AD368" s="182"/>
      <c r="AE368" s="182"/>
      <c r="AF368" s="182"/>
      <c r="AG368" s="182"/>
      <c r="AH368" s="182"/>
      <c r="AI368" s="182"/>
      <c r="AJ368" s="182"/>
      <c r="AK368" s="182"/>
      <c r="AL368" s="182"/>
      <c r="AM368" s="182"/>
      <c r="AN368" s="182"/>
      <c r="AO368" s="182"/>
      <c r="AP368" s="182"/>
      <c r="AQ368" s="182"/>
      <c r="AR368" s="182"/>
      <c r="AS368" s="182"/>
      <c r="AT368" s="182"/>
      <c r="AU368" s="182"/>
    </row>
    <row r="369" spans="3:47" ht="16">
      <c r="C369" s="664" t="s">
        <v>174</v>
      </c>
      <c r="D369" s="283"/>
      <c r="E369" s="283"/>
      <c r="F369" s="283">
        <f t="shared" ref="F369:Q369" si="142">F356</f>
        <v>0</v>
      </c>
      <c r="G369" s="283">
        <f t="shared" si="142"/>
        <v>0</v>
      </c>
      <c r="H369" s="283">
        <f t="shared" si="142"/>
        <v>0</v>
      </c>
      <c r="I369" s="283">
        <f t="shared" si="142"/>
        <v>0</v>
      </c>
      <c r="J369" s="283">
        <f t="shared" si="142"/>
        <v>0</v>
      </c>
      <c r="K369" s="283">
        <f t="shared" si="142"/>
        <v>0</v>
      </c>
      <c r="L369" s="283">
        <f t="shared" si="142"/>
        <v>0</v>
      </c>
      <c r="M369" s="283">
        <f t="shared" si="142"/>
        <v>0</v>
      </c>
      <c r="N369" s="283">
        <f t="shared" si="142"/>
        <v>0</v>
      </c>
      <c r="O369" s="283">
        <f t="shared" si="142"/>
        <v>0</v>
      </c>
      <c r="P369" s="283">
        <f t="shared" si="142"/>
        <v>0</v>
      </c>
      <c r="Q369" s="667">
        <f t="shared" si="142"/>
        <v>0</v>
      </c>
      <c r="R369" s="283"/>
      <c r="S369" s="283"/>
      <c r="T369" s="182"/>
      <c r="U369" s="182"/>
      <c r="V369" s="182"/>
      <c r="W369" s="182"/>
      <c r="X369" s="182"/>
      <c r="Y369" s="182"/>
      <c r="Z369" s="182"/>
      <c r="AA369" s="182"/>
      <c r="AB369" s="182"/>
      <c r="AC369" s="182"/>
      <c r="AD369" s="182"/>
      <c r="AE369" s="182"/>
      <c r="AF369" s="182"/>
      <c r="AG369" s="182"/>
      <c r="AH369" s="182"/>
      <c r="AI369" s="182"/>
      <c r="AJ369" s="182"/>
      <c r="AK369" s="182"/>
      <c r="AL369" s="182"/>
      <c r="AM369" s="182"/>
      <c r="AN369" s="182"/>
      <c r="AO369" s="182"/>
      <c r="AP369" s="182"/>
      <c r="AQ369" s="182"/>
      <c r="AR369" s="182"/>
      <c r="AS369" s="182"/>
      <c r="AT369" s="182"/>
      <c r="AU369" s="182"/>
    </row>
    <row r="370" spans="3:47">
      <c r="C370" s="664"/>
      <c r="D370" s="283"/>
      <c r="E370" s="283"/>
      <c r="F370" s="283"/>
      <c r="G370" s="283"/>
      <c r="H370" s="283"/>
      <c r="I370" s="283"/>
      <c r="J370" s="283"/>
      <c r="K370" s="283"/>
      <c r="L370" s="283"/>
      <c r="M370" s="283"/>
      <c r="N370" s="283"/>
      <c r="O370" s="283"/>
      <c r="P370" s="283"/>
      <c r="Q370" s="667"/>
      <c r="R370" s="283"/>
      <c r="S370" s="283"/>
      <c r="T370" s="182"/>
      <c r="U370" s="182"/>
      <c r="V370" s="182"/>
      <c r="W370" s="182"/>
      <c r="X370" s="182"/>
      <c r="Y370" s="182"/>
      <c r="Z370" s="182"/>
      <c r="AA370" s="182"/>
      <c r="AB370" s="182"/>
      <c r="AC370" s="182"/>
      <c r="AD370" s="182"/>
      <c r="AE370" s="182"/>
      <c r="AF370" s="182"/>
      <c r="AG370" s="182"/>
      <c r="AH370" s="182"/>
      <c r="AI370" s="182"/>
      <c r="AJ370" s="182"/>
      <c r="AK370" s="182"/>
      <c r="AL370" s="182"/>
      <c r="AM370" s="182"/>
      <c r="AN370" s="182"/>
      <c r="AO370" s="182"/>
      <c r="AP370" s="182"/>
      <c r="AQ370" s="182"/>
      <c r="AR370" s="182"/>
      <c r="AS370" s="182"/>
      <c r="AT370" s="182"/>
      <c r="AU370" s="182"/>
    </row>
    <row r="371" spans="3:47">
      <c r="C371" s="679">
        <v>20</v>
      </c>
      <c r="D371" s="322"/>
      <c r="E371" s="322">
        <v>2023</v>
      </c>
      <c r="F371" s="322">
        <v>2024</v>
      </c>
      <c r="G371" s="322">
        <v>2025</v>
      </c>
      <c r="H371" s="322">
        <v>2026</v>
      </c>
      <c r="I371" s="322">
        <v>2027</v>
      </c>
      <c r="J371" s="322">
        <v>2028</v>
      </c>
      <c r="K371" s="322">
        <v>2029</v>
      </c>
      <c r="L371" s="322">
        <v>2030</v>
      </c>
      <c r="M371" s="322">
        <v>2031</v>
      </c>
      <c r="N371" s="322">
        <v>2032</v>
      </c>
      <c r="O371" s="322">
        <v>2033</v>
      </c>
      <c r="P371" s="322">
        <v>2034</v>
      </c>
      <c r="Q371" s="680">
        <v>2035</v>
      </c>
      <c r="R371" s="283"/>
      <c r="S371" s="283"/>
      <c r="T371" s="182"/>
      <c r="U371" s="182"/>
      <c r="V371" s="182"/>
      <c r="W371" s="182"/>
      <c r="X371" s="182"/>
      <c r="Y371" s="182"/>
      <c r="Z371" s="182"/>
      <c r="AA371" s="182"/>
      <c r="AB371" s="182"/>
      <c r="AC371" s="182"/>
      <c r="AD371" s="182"/>
      <c r="AE371" s="182"/>
      <c r="AF371" s="182"/>
      <c r="AG371" s="182"/>
      <c r="AH371" s="182"/>
      <c r="AI371" s="182"/>
      <c r="AJ371" s="182"/>
      <c r="AK371" s="182"/>
      <c r="AL371" s="182"/>
      <c r="AM371" s="182"/>
      <c r="AN371" s="182"/>
      <c r="AO371" s="182"/>
      <c r="AP371" s="182"/>
      <c r="AQ371" s="182"/>
      <c r="AR371" s="182"/>
      <c r="AS371" s="182"/>
      <c r="AT371" s="182"/>
      <c r="AU371" s="182"/>
    </row>
    <row r="372" spans="3:47" ht="16">
      <c r="C372" s="664" t="s">
        <v>177</v>
      </c>
      <c r="D372" s="291"/>
      <c r="E372" s="291"/>
      <c r="F372" s="291">
        <f>'Deuda a emitir'!F59</f>
        <v>0</v>
      </c>
      <c r="G372" s="291">
        <f>'Deuda a emitir'!G59</f>
        <v>0</v>
      </c>
      <c r="H372" s="291">
        <f>'Deuda a emitir'!H59</f>
        <v>0</v>
      </c>
      <c r="I372" s="291">
        <f>'Deuda a emitir'!I59</f>
        <v>0</v>
      </c>
      <c r="J372" s="291">
        <f>'Deuda a emitir'!J59</f>
        <v>0</v>
      </c>
      <c r="K372" s="291">
        <f>'Deuda a emitir'!K59</f>
        <v>0</v>
      </c>
      <c r="L372" s="291">
        <f>'Deuda a emitir'!L59</f>
        <v>0</v>
      </c>
      <c r="M372" s="291">
        <f>'Deuda a emitir'!M59</f>
        <v>0</v>
      </c>
      <c r="N372" s="291">
        <f>'Deuda a emitir'!N59</f>
        <v>0</v>
      </c>
      <c r="O372" s="291">
        <f>'Deuda a emitir'!O59</f>
        <v>0</v>
      </c>
      <c r="P372" s="291">
        <f>'Deuda a emitir'!P59</f>
        <v>0</v>
      </c>
      <c r="Q372" s="666">
        <f>'Deuda a emitir'!Q59</f>
        <v>0</v>
      </c>
      <c r="R372" s="283"/>
      <c r="S372" s="283"/>
      <c r="T372" s="182"/>
      <c r="U372" s="182"/>
      <c r="V372" s="182"/>
      <c r="W372" s="182"/>
      <c r="X372" s="182"/>
      <c r="Y372" s="182"/>
      <c r="Z372" s="182"/>
      <c r="AA372" s="182"/>
      <c r="AB372" s="182"/>
      <c r="AC372" s="182"/>
      <c r="AD372" s="182"/>
      <c r="AE372" s="182"/>
      <c r="AF372" s="182"/>
      <c r="AG372" s="182"/>
      <c r="AH372" s="182"/>
      <c r="AI372" s="182"/>
      <c r="AJ372" s="182"/>
      <c r="AK372" s="182"/>
      <c r="AL372" s="182"/>
      <c r="AM372" s="182"/>
      <c r="AN372" s="182"/>
      <c r="AO372" s="182"/>
      <c r="AP372" s="182"/>
      <c r="AQ372" s="182"/>
      <c r="AR372" s="182"/>
      <c r="AS372" s="182"/>
      <c r="AT372" s="182"/>
      <c r="AU372" s="182"/>
    </row>
    <row r="373" spans="3:47" ht="16">
      <c r="C373" s="664" t="s">
        <v>178</v>
      </c>
      <c r="D373" s="291"/>
      <c r="E373" s="291"/>
      <c r="F373" s="291">
        <f>'Deuda a emitir'!F60</f>
        <v>0</v>
      </c>
      <c r="G373" s="291">
        <f>'Deuda a emitir'!G60</f>
        <v>0</v>
      </c>
      <c r="H373" s="291">
        <f>'Deuda a emitir'!H60</f>
        <v>0</v>
      </c>
      <c r="I373" s="291">
        <f>'Deuda a emitir'!I60</f>
        <v>0</v>
      </c>
      <c r="J373" s="291">
        <f>'Deuda a emitir'!J60</f>
        <v>0</v>
      </c>
      <c r="K373" s="291">
        <f>'Deuda a emitir'!K60</f>
        <v>0</v>
      </c>
      <c r="L373" s="291">
        <f>'Deuda a emitir'!L60</f>
        <v>0</v>
      </c>
      <c r="M373" s="291">
        <f>'Deuda a emitir'!M60</f>
        <v>0</v>
      </c>
      <c r="N373" s="291">
        <f>'Deuda a emitir'!N60</f>
        <v>0</v>
      </c>
      <c r="O373" s="291">
        <f>'Deuda a emitir'!O60</f>
        <v>0</v>
      </c>
      <c r="P373" s="291">
        <f>'Deuda a emitir'!P60</f>
        <v>0</v>
      </c>
      <c r="Q373" s="666">
        <f>'Deuda a emitir'!Q60</f>
        <v>0</v>
      </c>
      <c r="R373" s="283"/>
      <c r="S373" s="283"/>
      <c r="T373" s="182"/>
      <c r="U373" s="182"/>
      <c r="V373" s="182"/>
      <c r="W373" s="182"/>
      <c r="X373" s="182"/>
      <c r="Y373" s="182"/>
      <c r="Z373" s="182"/>
      <c r="AA373" s="182"/>
      <c r="AB373" s="182"/>
      <c r="AC373" s="182"/>
      <c r="AD373" s="182"/>
      <c r="AE373" s="182"/>
      <c r="AF373" s="182"/>
      <c r="AG373" s="182"/>
      <c r="AH373" s="182"/>
      <c r="AI373" s="182"/>
      <c r="AJ373" s="182"/>
      <c r="AK373" s="182"/>
      <c r="AL373" s="182"/>
      <c r="AM373" s="182"/>
      <c r="AN373" s="182"/>
      <c r="AO373" s="182"/>
      <c r="AP373" s="182"/>
      <c r="AQ373" s="182"/>
      <c r="AR373" s="182"/>
      <c r="AS373" s="182"/>
      <c r="AT373" s="182"/>
      <c r="AU373" s="182"/>
    </row>
    <row r="374" spans="3:47" ht="16">
      <c r="C374" s="664" t="s">
        <v>179</v>
      </c>
      <c r="D374" s="326"/>
      <c r="E374" s="326"/>
      <c r="F374" s="326">
        <f>'Deuda a emitir'!F61</f>
        <v>20</v>
      </c>
      <c r="G374" s="326">
        <f>'Deuda a emitir'!G61</f>
        <v>20</v>
      </c>
      <c r="H374" s="326">
        <f>'Deuda a emitir'!H61</f>
        <v>20</v>
      </c>
      <c r="I374" s="326">
        <f>'Deuda a emitir'!I61</f>
        <v>20</v>
      </c>
      <c r="J374" s="326">
        <f>'Deuda a emitir'!J61</f>
        <v>20</v>
      </c>
      <c r="K374" s="326">
        <f>'Deuda a emitir'!K61</f>
        <v>20</v>
      </c>
      <c r="L374" s="326">
        <f>'Deuda a emitir'!L61</f>
        <v>20</v>
      </c>
      <c r="M374" s="326">
        <f>'Deuda a emitir'!M61</f>
        <v>20</v>
      </c>
      <c r="N374" s="326">
        <f>'Deuda a emitir'!N61</f>
        <v>20</v>
      </c>
      <c r="O374" s="326">
        <f>'Deuda a emitir'!O61</f>
        <v>20</v>
      </c>
      <c r="P374" s="326">
        <f>'Deuda a emitir'!P61</f>
        <v>20</v>
      </c>
      <c r="Q374" s="684">
        <f>'Deuda a emitir'!Q61</f>
        <v>20</v>
      </c>
      <c r="R374" s="283"/>
      <c r="S374" s="283"/>
      <c r="T374" s="182"/>
      <c r="U374" s="182"/>
      <c r="V374" s="182"/>
      <c r="W374" s="182"/>
      <c r="X374" s="182"/>
      <c r="Y374" s="182"/>
      <c r="Z374" s="182"/>
      <c r="AA374" s="182"/>
      <c r="AB374" s="182"/>
      <c r="AC374" s="182"/>
      <c r="AD374" s="182"/>
      <c r="AE374" s="182"/>
      <c r="AF374" s="182"/>
      <c r="AG374" s="182"/>
      <c r="AH374" s="182"/>
      <c r="AI374" s="182"/>
      <c r="AJ374" s="182"/>
      <c r="AK374" s="182"/>
      <c r="AL374" s="182"/>
      <c r="AM374" s="182"/>
      <c r="AN374" s="182"/>
      <c r="AO374" s="182"/>
      <c r="AP374" s="182"/>
      <c r="AQ374" s="182"/>
      <c r="AR374" s="182"/>
      <c r="AS374" s="182"/>
      <c r="AT374" s="182"/>
      <c r="AU374" s="182"/>
    </row>
    <row r="375" spans="3:47" ht="16">
      <c r="C375" s="664" t="s">
        <v>72</v>
      </c>
      <c r="D375" s="328"/>
      <c r="E375" s="328"/>
      <c r="F375" s="328">
        <f t="shared" ref="F375:Q375" si="143">F371+F374</f>
        <v>2044</v>
      </c>
      <c r="G375" s="328">
        <f t="shared" si="143"/>
        <v>2045</v>
      </c>
      <c r="H375" s="328">
        <f t="shared" si="143"/>
        <v>2046</v>
      </c>
      <c r="I375" s="328">
        <f t="shared" si="143"/>
        <v>2047</v>
      </c>
      <c r="J375" s="328">
        <f t="shared" si="143"/>
        <v>2048</v>
      </c>
      <c r="K375" s="328">
        <f t="shared" si="143"/>
        <v>2049</v>
      </c>
      <c r="L375" s="328">
        <f t="shared" si="143"/>
        <v>2050</v>
      </c>
      <c r="M375" s="328">
        <f t="shared" si="143"/>
        <v>2051</v>
      </c>
      <c r="N375" s="328">
        <f t="shared" si="143"/>
        <v>2052</v>
      </c>
      <c r="O375" s="328">
        <f t="shared" si="143"/>
        <v>2053</v>
      </c>
      <c r="P375" s="328">
        <f t="shared" si="143"/>
        <v>2054</v>
      </c>
      <c r="Q375" s="681">
        <f t="shared" si="143"/>
        <v>2055</v>
      </c>
      <c r="R375" s="327"/>
      <c r="S375" s="327"/>
      <c r="T375" s="182"/>
      <c r="U375" s="182"/>
      <c r="V375" s="182"/>
      <c r="W375" s="182"/>
      <c r="X375" s="182"/>
      <c r="Y375" s="182"/>
      <c r="Z375" s="182"/>
      <c r="AA375" s="182"/>
      <c r="AB375" s="182"/>
      <c r="AC375" s="182"/>
      <c r="AD375" s="182"/>
      <c r="AE375" s="182"/>
      <c r="AF375" s="182"/>
      <c r="AG375" s="182"/>
      <c r="AH375" s="182"/>
      <c r="AI375" s="182"/>
      <c r="AJ375" s="182"/>
      <c r="AK375" s="182"/>
      <c r="AL375" s="182"/>
      <c r="AM375" s="182"/>
      <c r="AN375" s="182"/>
      <c r="AO375" s="182"/>
      <c r="AP375" s="182"/>
      <c r="AQ375" s="182"/>
      <c r="AR375" s="182"/>
      <c r="AS375" s="182"/>
      <c r="AT375" s="182"/>
      <c r="AU375" s="182"/>
    </row>
    <row r="376" spans="3:47" ht="16">
      <c r="C376" s="664" t="s">
        <v>180</v>
      </c>
      <c r="D376" s="291"/>
      <c r="E376" s="291"/>
      <c r="F376" s="291">
        <f>'Deuda a emitir'!F48</f>
        <v>0</v>
      </c>
      <c r="G376" s="291">
        <f>'Deuda a emitir'!G48</f>
        <v>0</v>
      </c>
      <c r="H376" s="291">
        <f>'Deuda a emitir'!H48</f>
        <v>0</v>
      </c>
      <c r="I376" s="291">
        <f>'Deuda a emitir'!I48</f>
        <v>0</v>
      </c>
      <c r="J376" s="291">
        <f>'Deuda a emitir'!J48</f>
        <v>0</v>
      </c>
      <c r="K376" s="291">
        <f>'Deuda a emitir'!K48</f>
        <v>0</v>
      </c>
      <c r="L376" s="291">
        <f>'Deuda a emitir'!L48</f>
        <v>0</v>
      </c>
      <c r="M376" s="291">
        <f>'Deuda a emitir'!M48</f>
        <v>0</v>
      </c>
      <c r="N376" s="291">
        <f>'Deuda a emitir'!N48</f>
        <v>0</v>
      </c>
      <c r="O376" s="291">
        <f>'Deuda a emitir'!O48</f>
        <v>0</v>
      </c>
      <c r="P376" s="291">
        <f>'Deuda a emitir'!P48</f>
        <v>0</v>
      </c>
      <c r="Q376" s="666">
        <f>'Deuda a emitir'!Q48</f>
        <v>0</v>
      </c>
      <c r="R376" s="283"/>
      <c r="S376" s="283"/>
      <c r="T376" s="182"/>
      <c r="U376" s="182"/>
      <c r="V376" s="182"/>
      <c r="W376" s="182"/>
      <c r="X376" s="182"/>
      <c r="Y376" s="182"/>
      <c r="Z376" s="182"/>
      <c r="AA376" s="182"/>
      <c r="AB376" s="182"/>
      <c r="AC376" s="182"/>
      <c r="AD376" s="182"/>
      <c r="AE376" s="182"/>
      <c r="AF376" s="182"/>
      <c r="AG376" s="182"/>
      <c r="AH376" s="182"/>
      <c r="AI376" s="182"/>
      <c r="AJ376" s="182"/>
      <c r="AK376" s="182"/>
      <c r="AL376" s="182"/>
      <c r="AM376" s="182"/>
      <c r="AN376" s="182"/>
      <c r="AO376" s="182"/>
      <c r="AP376" s="182"/>
      <c r="AQ376" s="182"/>
      <c r="AR376" s="182"/>
      <c r="AS376" s="182"/>
      <c r="AT376" s="182"/>
      <c r="AU376" s="182"/>
    </row>
    <row r="377" spans="3:47" ht="32">
      <c r="C377" s="664" t="s">
        <v>187</v>
      </c>
      <c r="D377" s="283"/>
      <c r="E377" s="283"/>
      <c r="F377" s="283">
        <f t="shared" ref="F377:Q377" si="144">F$304*F376</f>
        <v>0</v>
      </c>
      <c r="G377" s="283" t="e">
        <f t="shared" si="144"/>
        <v>#DIV/0!</v>
      </c>
      <c r="H377" s="283" t="e">
        <f t="shared" si="144"/>
        <v>#DIV/0!</v>
      </c>
      <c r="I377" s="283" t="e">
        <f t="shared" si="144"/>
        <v>#DIV/0!</v>
      </c>
      <c r="J377" s="283" t="e">
        <f t="shared" si="144"/>
        <v>#DIV/0!</v>
      </c>
      <c r="K377" s="283" t="e">
        <f t="shared" si="144"/>
        <v>#DIV/0!</v>
      </c>
      <c r="L377" s="283" t="e">
        <f t="shared" si="144"/>
        <v>#DIV/0!</v>
      </c>
      <c r="M377" s="283" t="e">
        <f t="shared" si="144"/>
        <v>#DIV/0!</v>
      </c>
      <c r="N377" s="283" t="e">
        <f t="shared" si="144"/>
        <v>#DIV/0!</v>
      </c>
      <c r="O377" s="283" t="e">
        <f t="shared" si="144"/>
        <v>#DIV/0!</v>
      </c>
      <c r="P377" s="283" t="e">
        <f t="shared" si="144"/>
        <v>#DIV/0!</v>
      </c>
      <c r="Q377" s="667" t="e">
        <f t="shared" si="144"/>
        <v>#DIV/0!</v>
      </c>
      <c r="R377" s="283"/>
      <c r="S377" s="283"/>
      <c r="T377" s="182"/>
      <c r="U377" s="182"/>
      <c r="V377" s="182"/>
      <c r="W377" s="182"/>
      <c r="X377" s="182"/>
      <c r="Y377" s="182"/>
      <c r="Z377" s="182"/>
      <c r="AA377" s="182"/>
      <c r="AB377" s="182"/>
      <c r="AC377" s="182"/>
      <c r="AD377" s="182"/>
      <c r="AE377" s="182"/>
      <c r="AF377" s="182"/>
      <c r="AG377" s="182"/>
      <c r="AH377" s="182"/>
      <c r="AI377" s="182"/>
      <c r="AJ377" s="182"/>
      <c r="AK377" s="182"/>
      <c r="AL377" s="182"/>
      <c r="AM377" s="182"/>
      <c r="AN377" s="182"/>
      <c r="AO377" s="182"/>
      <c r="AP377" s="182"/>
      <c r="AQ377" s="182"/>
      <c r="AR377" s="182"/>
      <c r="AS377" s="182"/>
      <c r="AT377" s="182"/>
      <c r="AU377" s="182"/>
    </row>
    <row r="378" spans="3:47" ht="32">
      <c r="C378" s="664" t="s">
        <v>171</v>
      </c>
      <c r="D378" s="283"/>
      <c r="E378" s="283"/>
      <c r="F378" s="283">
        <f t="shared" ref="F378:Q378" si="145">F$305*F376</f>
        <v>0</v>
      </c>
      <c r="G378" s="283">
        <f t="shared" si="145"/>
        <v>0</v>
      </c>
      <c r="H378" s="283">
        <f t="shared" si="145"/>
        <v>0</v>
      </c>
      <c r="I378" s="283">
        <f t="shared" si="145"/>
        <v>0</v>
      </c>
      <c r="J378" s="283">
        <f t="shared" si="145"/>
        <v>0</v>
      </c>
      <c r="K378" s="283">
        <f t="shared" si="145"/>
        <v>0</v>
      </c>
      <c r="L378" s="283">
        <f t="shared" si="145"/>
        <v>0</v>
      </c>
      <c r="M378" s="283">
        <f t="shared" si="145"/>
        <v>0</v>
      </c>
      <c r="N378" s="283">
        <f t="shared" si="145"/>
        <v>0</v>
      </c>
      <c r="O378" s="283">
        <f t="shared" si="145"/>
        <v>0</v>
      </c>
      <c r="P378" s="283">
        <f t="shared" si="145"/>
        <v>0</v>
      </c>
      <c r="Q378" s="667">
        <f t="shared" si="145"/>
        <v>0</v>
      </c>
      <c r="R378" s="283"/>
      <c r="S378" s="283"/>
      <c r="T378" s="182"/>
      <c r="U378" s="182"/>
      <c r="V378" s="182"/>
      <c r="W378" s="182"/>
      <c r="X378" s="182"/>
      <c r="Y378" s="182"/>
      <c r="Z378" s="182"/>
      <c r="AA378" s="182"/>
      <c r="AB378" s="182"/>
      <c r="AC378" s="182"/>
      <c r="AD378" s="182"/>
      <c r="AE378" s="182"/>
      <c r="AF378" s="182"/>
      <c r="AG378" s="182"/>
      <c r="AH378" s="182"/>
      <c r="AI378" s="182"/>
      <c r="AJ378" s="182"/>
      <c r="AK378" s="182"/>
      <c r="AL378" s="182"/>
      <c r="AM378" s="182"/>
      <c r="AN378" s="182"/>
      <c r="AO378" s="182"/>
      <c r="AP378" s="182"/>
      <c r="AQ378" s="182"/>
      <c r="AR378" s="182"/>
      <c r="AS378" s="182"/>
      <c r="AT378" s="182"/>
      <c r="AU378" s="182"/>
    </row>
    <row r="379" spans="3:47" ht="16">
      <c r="C379" s="668" t="s">
        <v>200</v>
      </c>
      <c r="D379" s="37"/>
      <c r="E379" s="37"/>
      <c r="F379" s="37">
        <f t="shared" ref="F379:P379" si="146">SUM(F377:F378)</f>
        <v>0</v>
      </c>
      <c r="G379" s="37" t="e">
        <f t="shared" si="146"/>
        <v>#DIV/0!</v>
      </c>
      <c r="H379" s="37" t="e">
        <f t="shared" si="146"/>
        <v>#DIV/0!</v>
      </c>
      <c r="I379" s="37" t="e">
        <f t="shared" si="146"/>
        <v>#DIV/0!</v>
      </c>
      <c r="J379" s="37" t="e">
        <f t="shared" si="146"/>
        <v>#DIV/0!</v>
      </c>
      <c r="K379" s="37" t="e">
        <f t="shared" si="146"/>
        <v>#DIV/0!</v>
      </c>
      <c r="L379" s="37" t="e">
        <f t="shared" si="146"/>
        <v>#DIV/0!</v>
      </c>
      <c r="M379" s="37" t="e">
        <f t="shared" si="146"/>
        <v>#DIV/0!</v>
      </c>
      <c r="N379" s="37" t="e">
        <f t="shared" si="146"/>
        <v>#DIV/0!</v>
      </c>
      <c r="O379" s="37" t="e">
        <f t="shared" si="146"/>
        <v>#DIV/0!</v>
      </c>
      <c r="P379" s="37" t="e">
        <f t="shared" si="146"/>
        <v>#DIV/0!</v>
      </c>
      <c r="Q379" s="669" t="e">
        <f t="shared" ref="Q379" si="147">SUM(Q377:Q378)</f>
        <v>#DIV/0!</v>
      </c>
      <c r="R379" s="37"/>
      <c r="S379" s="37"/>
      <c r="T379" s="244"/>
      <c r="U379" s="244"/>
      <c r="V379" s="244"/>
      <c r="W379" s="244"/>
      <c r="X379" s="244"/>
      <c r="Y379" s="244"/>
      <c r="Z379" s="244"/>
      <c r="AA379" s="244"/>
      <c r="AB379" s="244"/>
      <c r="AC379" s="244"/>
      <c r="AD379" s="244"/>
      <c r="AE379" s="244"/>
      <c r="AF379" s="244"/>
      <c r="AG379" s="244"/>
      <c r="AH379" s="244"/>
      <c r="AI379" s="244"/>
      <c r="AJ379" s="244"/>
      <c r="AK379" s="244"/>
      <c r="AL379" s="244"/>
      <c r="AM379" s="244"/>
      <c r="AN379" s="244"/>
      <c r="AO379" s="244"/>
      <c r="AP379" s="244"/>
      <c r="AQ379" s="244"/>
      <c r="AR379" s="244"/>
      <c r="AS379" s="244"/>
      <c r="AT379" s="244"/>
      <c r="AU379" s="244"/>
    </row>
    <row r="380" spans="3:47" ht="16">
      <c r="C380" s="670" t="s">
        <v>198</v>
      </c>
      <c r="D380" s="330"/>
      <c r="E380" s="330"/>
      <c r="F380" s="330">
        <f t="shared" ref="F380:Q380" si="148">(F379/F$302)</f>
        <v>0</v>
      </c>
      <c r="G380" s="330" t="e">
        <f t="shared" si="148"/>
        <v>#DIV/0!</v>
      </c>
      <c r="H380" s="330" t="e">
        <f t="shared" si="148"/>
        <v>#DIV/0!</v>
      </c>
      <c r="I380" s="330" t="e">
        <f t="shared" si="148"/>
        <v>#DIV/0!</v>
      </c>
      <c r="J380" s="330" t="e">
        <f t="shared" si="148"/>
        <v>#DIV/0!</v>
      </c>
      <c r="K380" s="330" t="e">
        <f t="shared" si="148"/>
        <v>#DIV/0!</v>
      </c>
      <c r="L380" s="330" t="e">
        <f t="shared" si="148"/>
        <v>#DIV/0!</v>
      </c>
      <c r="M380" s="330" t="e">
        <f t="shared" si="148"/>
        <v>#DIV/0!</v>
      </c>
      <c r="N380" s="330" t="e">
        <f t="shared" si="148"/>
        <v>#DIV/0!</v>
      </c>
      <c r="O380" s="330" t="e">
        <f t="shared" si="148"/>
        <v>#DIV/0!</v>
      </c>
      <c r="P380" s="330" t="e">
        <f t="shared" si="148"/>
        <v>#DIV/0!</v>
      </c>
      <c r="Q380" s="682" t="e">
        <f t="shared" si="148"/>
        <v>#DIV/0!</v>
      </c>
      <c r="R380" s="330"/>
      <c r="S380" s="330"/>
      <c r="T380" s="331"/>
      <c r="U380" s="331"/>
      <c r="V380" s="331"/>
      <c r="W380" s="331"/>
      <c r="X380" s="331"/>
      <c r="Y380" s="331"/>
      <c r="Z380" s="331"/>
      <c r="AA380" s="331"/>
      <c r="AB380" s="331"/>
      <c r="AC380" s="331"/>
      <c r="AD380" s="331"/>
      <c r="AE380" s="331"/>
      <c r="AF380" s="331"/>
      <c r="AG380" s="331"/>
      <c r="AH380" s="331"/>
      <c r="AI380" s="331"/>
      <c r="AJ380" s="331"/>
      <c r="AK380" s="331"/>
      <c r="AL380" s="331"/>
      <c r="AM380" s="331"/>
      <c r="AN380" s="331"/>
      <c r="AO380" s="331"/>
      <c r="AP380" s="331"/>
      <c r="AQ380" s="331"/>
      <c r="AR380" s="331"/>
      <c r="AS380" s="331"/>
      <c r="AT380" s="331"/>
      <c r="AU380" s="331"/>
    </row>
    <row r="381" spans="3:47" ht="16">
      <c r="C381" s="664" t="s">
        <v>201</v>
      </c>
      <c r="D381" s="283"/>
      <c r="E381" s="283"/>
      <c r="F381" s="283">
        <f>F380*HLOOKUP((F371+F374),$F301:$AU302,2,FALSE)</f>
        <v>0</v>
      </c>
      <c r="G381" s="283" t="e">
        <f t="shared" ref="G381:Q381" si="149">G380*HLOOKUP((G371+G374),$F301:$AU302,2,FALSE)</f>
        <v>#DIV/0!</v>
      </c>
      <c r="H381" s="283" t="e">
        <f t="shared" si="149"/>
        <v>#DIV/0!</v>
      </c>
      <c r="I381" s="283" t="e">
        <f t="shared" si="149"/>
        <v>#DIV/0!</v>
      </c>
      <c r="J381" s="283" t="e">
        <f t="shared" si="149"/>
        <v>#DIV/0!</v>
      </c>
      <c r="K381" s="283" t="e">
        <f t="shared" si="149"/>
        <v>#DIV/0!</v>
      </c>
      <c r="L381" s="283" t="e">
        <f t="shared" si="149"/>
        <v>#DIV/0!</v>
      </c>
      <c r="M381" s="283" t="e">
        <f t="shared" si="149"/>
        <v>#DIV/0!</v>
      </c>
      <c r="N381" s="283" t="e">
        <f t="shared" si="149"/>
        <v>#DIV/0!</v>
      </c>
      <c r="O381" s="283" t="e">
        <f t="shared" si="149"/>
        <v>#DIV/0!</v>
      </c>
      <c r="P381" s="283" t="e">
        <f t="shared" si="149"/>
        <v>#DIV/0!</v>
      </c>
      <c r="Q381" s="667" t="e">
        <f t="shared" si="149"/>
        <v>#DIV/0!</v>
      </c>
      <c r="R381" s="283"/>
      <c r="S381" s="283"/>
      <c r="T381" s="182"/>
      <c r="U381" s="182"/>
      <c r="V381" s="182"/>
      <c r="W381" s="182"/>
      <c r="X381" s="182"/>
      <c r="Y381" s="182"/>
      <c r="Z381" s="182"/>
      <c r="AA381" s="182"/>
      <c r="AB381" s="182"/>
      <c r="AC381" s="182"/>
      <c r="AD381" s="182"/>
      <c r="AE381" s="182"/>
      <c r="AF381" s="182"/>
      <c r="AG381" s="182"/>
      <c r="AH381" s="182"/>
      <c r="AI381" s="182"/>
      <c r="AJ381" s="182"/>
      <c r="AK381" s="182"/>
      <c r="AL381" s="182"/>
      <c r="AM381" s="182"/>
      <c r="AN381" s="182"/>
      <c r="AO381" s="182"/>
      <c r="AP381" s="182"/>
      <c r="AQ381" s="182"/>
      <c r="AR381" s="182"/>
      <c r="AS381" s="182"/>
      <c r="AT381" s="182"/>
      <c r="AU381" s="182"/>
    </row>
    <row r="382" spans="3:47">
      <c r="C382" s="664"/>
      <c r="D382" s="283"/>
      <c r="E382" s="283"/>
      <c r="F382" s="283"/>
      <c r="G382" s="283"/>
      <c r="H382" s="283"/>
      <c r="I382" s="283"/>
      <c r="J382" s="283"/>
      <c r="K382" s="283"/>
      <c r="L382" s="283"/>
      <c r="M382" s="283"/>
      <c r="N382" s="283"/>
      <c r="O382" s="283"/>
      <c r="P382" s="283"/>
      <c r="Q382" s="667"/>
      <c r="R382" s="283"/>
      <c r="S382" s="283"/>
      <c r="T382" s="182"/>
      <c r="U382" s="182"/>
      <c r="V382" s="182"/>
      <c r="W382" s="182"/>
      <c r="X382" s="182"/>
      <c r="Y382" s="182"/>
      <c r="Z382" s="182"/>
      <c r="AA382" s="182"/>
      <c r="AB382" s="182"/>
      <c r="AC382" s="182"/>
      <c r="AD382" s="182"/>
      <c r="AE382" s="182"/>
      <c r="AF382" s="182"/>
      <c r="AG382" s="182"/>
      <c r="AH382" s="182"/>
      <c r="AI382" s="182"/>
      <c r="AJ382" s="182"/>
      <c r="AK382" s="182"/>
      <c r="AL382" s="182"/>
      <c r="AM382" s="182"/>
      <c r="AN382" s="182"/>
      <c r="AO382" s="182"/>
      <c r="AP382" s="182"/>
      <c r="AQ382" s="182"/>
      <c r="AR382" s="182"/>
      <c r="AS382" s="182"/>
      <c r="AT382" s="182"/>
      <c r="AU382" s="182"/>
    </row>
    <row r="383" spans="3:47" ht="16">
      <c r="C383" s="664" t="s">
        <v>184</v>
      </c>
      <c r="D383" s="283"/>
      <c r="E383" s="283"/>
      <c r="F383" s="283">
        <f>NPV(F373+3%,F386:F404,(F405+F381))-F379</f>
        <v>0</v>
      </c>
      <c r="G383" s="283" t="e">
        <f t="shared" ref="G383:Q383" si="150">NPV(G373+3%,G385:G404,(G405+G381))-G379</f>
        <v>#DIV/0!</v>
      </c>
      <c r="H383" s="283" t="e">
        <f t="shared" si="150"/>
        <v>#DIV/0!</v>
      </c>
      <c r="I383" s="283" t="e">
        <f t="shared" si="150"/>
        <v>#DIV/0!</v>
      </c>
      <c r="J383" s="283" t="e">
        <f t="shared" si="150"/>
        <v>#DIV/0!</v>
      </c>
      <c r="K383" s="283" t="e">
        <f t="shared" si="150"/>
        <v>#DIV/0!</v>
      </c>
      <c r="L383" s="283" t="e">
        <f t="shared" si="150"/>
        <v>#DIV/0!</v>
      </c>
      <c r="M383" s="283" t="e">
        <f t="shared" si="150"/>
        <v>#DIV/0!</v>
      </c>
      <c r="N383" s="283" t="e">
        <f t="shared" si="150"/>
        <v>#DIV/0!</v>
      </c>
      <c r="O383" s="283" t="e">
        <f t="shared" si="150"/>
        <v>#DIV/0!</v>
      </c>
      <c r="P383" s="283" t="e">
        <f t="shared" si="150"/>
        <v>#DIV/0!</v>
      </c>
      <c r="Q383" s="667" t="e">
        <f t="shared" si="150"/>
        <v>#DIV/0!</v>
      </c>
      <c r="R383" s="283"/>
      <c r="S383" s="283"/>
      <c r="T383" s="182"/>
      <c r="U383" s="182"/>
      <c r="V383" s="182"/>
      <c r="W383" s="182"/>
      <c r="X383" s="182"/>
      <c r="Y383" s="182"/>
      <c r="Z383" s="182"/>
      <c r="AA383" s="182"/>
      <c r="AB383" s="182"/>
      <c r="AC383" s="182"/>
      <c r="AD383" s="182"/>
      <c r="AE383" s="182"/>
      <c r="AF383" s="182"/>
      <c r="AG383" s="182"/>
      <c r="AH383" s="182"/>
      <c r="AI383" s="182"/>
      <c r="AJ383" s="182"/>
      <c r="AK383" s="182"/>
      <c r="AL383" s="182"/>
      <c r="AM383" s="182"/>
      <c r="AN383" s="182"/>
      <c r="AO383" s="182"/>
      <c r="AP383" s="182"/>
      <c r="AQ383" s="182"/>
      <c r="AR383" s="182"/>
      <c r="AS383" s="182"/>
      <c r="AT383" s="182"/>
      <c r="AU383" s="182"/>
    </row>
    <row r="384" spans="3:47">
      <c r="C384" s="664"/>
      <c r="D384" s="182"/>
      <c r="E384" s="182"/>
      <c r="F384" s="182"/>
      <c r="G384" s="182"/>
      <c r="H384" s="182"/>
      <c r="I384" s="182"/>
      <c r="J384" s="182"/>
      <c r="K384" s="182"/>
      <c r="L384" s="182"/>
      <c r="M384" s="182"/>
      <c r="N384" s="182"/>
      <c r="O384" s="182"/>
      <c r="P384" s="182"/>
      <c r="Q384" s="678"/>
      <c r="R384" s="283"/>
      <c r="S384" s="283"/>
      <c r="T384" s="182"/>
      <c r="U384" s="182"/>
      <c r="V384" s="182"/>
      <c r="W384" s="182"/>
      <c r="X384" s="182"/>
      <c r="Y384" s="182"/>
      <c r="Z384" s="182"/>
      <c r="AA384" s="182"/>
      <c r="AB384" s="182"/>
      <c r="AC384" s="182"/>
      <c r="AD384" s="182"/>
      <c r="AE384" s="182"/>
      <c r="AF384" s="182"/>
      <c r="AG384" s="182"/>
      <c r="AH384" s="182"/>
      <c r="AI384" s="182"/>
      <c r="AJ384" s="182"/>
      <c r="AK384" s="182"/>
      <c r="AL384" s="182"/>
      <c r="AM384" s="182"/>
      <c r="AN384" s="182"/>
      <c r="AO384" s="182"/>
      <c r="AP384" s="182"/>
      <c r="AQ384" s="182"/>
      <c r="AR384" s="182"/>
      <c r="AS384" s="182"/>
      <c r="AT384" s="182"/>
      <c r="AU384" s="182"/>
    </row>
    <row r="385" spans="3:47">
      <c r="C385" s="664">
        <v>0</v>
      </c>
      <c r="D385" s="283"/>
      <c r="E385" s="283"/>
      <c r="F385" s="283"/>
      <c r="G385" s="283"/>
      <c r="H385" s="283"/>
      <c r="I385" s="283"/>
      <c r="J385" s="283"/>
      <c r="K385" s="283"/>
      <c r="L385" s="283"/>
      <c r="M385" s="283"/>
      <c r="N385" s="283"/>
      <c r="O385" s="283"/>
      <c r="P385" s="283"/>
      <c r="Q385" s="667"/>
      <c r="R385" s="283"/>
      <c r="S385" s="283"/>
      <c r="T385" s="182"/>
      <c r="U385" s="182"/>
      <c r="V385" s="182"/>
      <c r="W385" s="182"/>
      <c r="X385" s="182"/>
      <c r="Y385" s="182"/>
      <c r="Z385" s="182"/>
      <c r="AA385" s="182"/>
      <c r="AB385" s="182"/>
      <c r="AC385" s="182"/>
      <c r="AD385" s="182"/>
      <c r="AE385" s="182"/>
      <c r="AF385" s="182"/>
      <c r="AG385" s="182"/>
      <c r="AH385" s="182"/>
      <c r="AI385" s="182"/>
      <c r="AJ385" s="182"/>
      <c r="AK385" s="182"/>
      <c r="AL385" s="182"/>
      <c r="AM385" s="182"/>
      <c r="AN385" s="182"/>
      <c r="AO385" s="182"/>
      <c r="AP385" s="182"/>
      <c r="AQ385" s="182"/>
      <c r="AR385" s="182"/>
      <c r="AS385" s="182"/>
      <c r="AT385" s="182"/>
      <c r="AU385" s="182"/>
    </row>
    <row r="386" spans="3:47">
      <c r="C386" s="664">
        <v>1</v>
      </c>
      <c r="D386" s="283"/>
      <c r="E386" s="283"/>
      <c r="F386" s="283">
        <f t="shared" ref="F386:Q386" si="151">F380*F372*G$302</f>
        <v>0</v>
      </c>
      <c r="G386" s="283" t="e">
        <f t="shared" si="151"/>
        <v>#DIV/0!</v>
      </c>
      <c r="H386" s="283" t="e">
        <f t="shared" si="151"/>
        <v>#DIV/0!</v>
      </c>
      <c r="I386" s="283" t="e">
        <f t="shared" si="151"/>
        <v>#DIV/0!</v>
      </c>
      <c r="J386" s="283" t="e">
        <f t="shared" si="151"/>
        <v>#DIV/0!</v>
      </c>
      <c r="K386" s="283" t="e">
        <f t="shared" si="151"/>
        <v>#DIV/0!</v>
      </c>
      <c r="L386" s="283" t="e">
        <f t="shared" si="151"/>
        <v>#DIV/0!</v>
      </c>
      <c r="M386" s="283" t="e">
        <f t="shared" si="151"/>
        <v>#DIV/0!</v>
      </c>
      <c r="N386" s="283" t="e">
        <f t="shared" si="151"/>
        <v>#DIV/0!</v>
      </c>
      <c r="O386" s="283" t="e">
        <f t="shared" si="151"/>
        <v>#DIV/0!</v>
      </c>
      <c r="P386" s="283" t="e">
        <f t="shared" si="151"/>
        <v>#DIV/0!</v>
      </c>
      <c r="Q386" s="667" t="e">
        <f t="shared" si="151"/>
        <v>#DIV/0!</v>
      </c>
      <c r="R386" s="283"/>
      <c r="S386" s="283"/>
      <c r="T386" s="182"/>
      <c r="U386" s="182"/>
      <c r="V386" s="182"/>
      <c r="W386" s="182"/>
      <c r="X386" s="182"/>
      <c r="Y386" s="182"/>
      <c r="Z386" s="182"/>
      <c r="AA386" s="182"/>
      <c r="AB386" s="182"/>
      <c r="AC386" s="182"/>
      <c r="AD386" s="182"/>
      <c r="AE386" s="182"/>
      <c r="AF386" s="182"/>
      <c r="AG386" s="182"/>
      <c r="AH386" s="182"/>
      <c r="AI386" s="182"/>
      <c r="AJ386" s="182"/>
      <c r="AK386" s="182"/>
      <c r="AL386" s="182"/>
      <c r="AM386" s="182"/>
      <c r="AN386" s="182"/>
      <c r="AO386" s="182"/>
      <c r="AP386" s="182"/>
      <c r="AQ386" s="182"/>
      <c r="AR386" s="182"/>
      <c r="AS386" s="182"/>
      <c r="AT386" s="182"/>
      <c r="AU386" s="182"/>
    </row>
    <row r="387" spans="3:47">
      <c r="C387" s="664">
        <v>2</v>
      </c>
      <c r="D387" s="283"/>
      <c r="E387" s="283"/>
      <c r="F387" s="283">
        <f t="shared" ref="F387:P387" si="152">F380*F372*H$302</f>
        <v>0</v>
      </c>
      <c r="G387" s="283" t="e">
        <f t="shared" si="152"/>
        <v>#DIV/0!</v>
      </c>
      <c r="H387" s="283" t="e">
        <f t="shared" si="152"/>
        <v>#DIV/0!</v>
      </c>
      <c r="I387" s="283" t="e">
        <f t="shared" si="152"/>
        <v>#DIV/0!</v>
      </c>
      <c r="J387" s="283" t="e">
        <f t="shared" si="152"/>
        <v>#DIV/0!</v>
      </c>
      <c r="K387" s="283" t="e">
        <f t="shared" si="152"/>
        <v>#DIV/0!</v>
      </c>
      <c r="L387" s="283" t="e">
        <f t="shared" si="152"/>
        <v>#DIV/0!</v>
      </c>
      <c r="M387" s="283" t="e">
        <f t="shared" si="152"/>
        <v>#DIV/0!</v>
      </c>
      <c r="N387" s="283" t="e">
        <f t="shared" si="152"/>
        <v>#DIV/0!</v>
      </c>
      <c r="O387" s="283" t="e">
        <f t="shared" si="152"/>
        <v>#DIV/0!</v>
      </c>
      <c r="P387" s="283" t="e">
        <f t="shared" si="152"/>
        <v>#DIV/0!</v>
      </c>
      <c r="Q387" s="667" t="e">
        <f>Q380*Q372*S$302</f>
        <v>#DIV/0!</v>
      </c>
      <c r="R387" s="283"/>
      <c r="S387" s="283"/>
      <c r="T387" s="182"/>
      <c r="U387" s="182"/>
      <c r="V387" s="182"/>
      <c r="W387" s="182"/>
      <c r="X387" s="182"/>
      <c r="Y387" s="182"/>
      <c r="Z387" s="182"/>
      <c r="AA387" s="182"/>
      <c r="AB387" s="182"/>
      <c r="AC387" s="182"/>
      <c r="AD387" s="182"/>
      <c r="AE387" s="182"/>
      <c r="AF387" s="182"/>
      <c r="AG387" s="182"/>
      <c r="AH387" s="182"/>
      <c r="AI387" s="182"/>
      <c r="AJ387" s="182"/>
      <c r="AK387" s="182"/>
      <c r="AL387" s="182"/>
      <c r="AM387" s="182"/>
      <c r="AN387" s="182"/>
      <c r="AO387" s="182"/>
      <c r="AP387" s="182"/>
      <c r="AQ387" s="182"/>
      <c r="AR387" s="182"/>
      <c r="AS387" s="182"/>
      <c r="AT387" s="182"/>
      <c r="AU387" s="182"/>
    </row>
    <row r="388" spans="3:47">
      <c r="C388" s="664">
        <v>3</v>
      </c>
      <c r="D388" s="283"/>
      <c r="E388" s="283"/>
      <c r="F388" s="283">
        <f t="shared" ref="F388:O388" si="153">F380*F372*I$302</f>
        <v>0</v>
      </c>
      <c r="G388" s="283" t="e">
        <f t="shared" si="153"/>
        <v>#DIV/0!</v>
      </c>
      <c r="H388" s="283" t="e">
        <f t="shared" si="153"/>
        <v>#DIV/0!</v>
      </c>
      <c r="I388" s="283" t="e">
        <f t="shared" si="153"/>
        <v>#DIV/0!</v>
      </c>
      <c r="J388" s="283" t="e">
        <f t="shared" si="153"/>
        <v>#DIV/0!</v>
      </c>
      <c r="K388" s="283" t="e">
        <f t="shared" si="153"/>
        <v>#DIV/0!</v>
      </c>
      <c r="L388" s="283" t="e">
        <f t="shared" si="153"/>
        <v>#DIV/0!</v>
      </c>
      <c r="M388" s="283" t="e">
        <f t="shared" si="153"/>
        <v>#DIV/0!</v>
      </c>
      <c r="N388" s="283" t="e">
        <f t="shared" si="153"/>
        <v>#DIV/0!</v>
      </c>
      <c r="O388" s="283" t="e">
        <f t="shared" si="153"/>
        <v>#DIV/0!</v>
      </c>
      <c r="P388" s="283" t="e">
        <f>P380*P372*S$302</f>
        <v>#DIV/0!</v>
      </c>
      <c r="Q388" s="667" t="e">
        <f>Q380*Q372*T$302</f>
        <v>#DIV/0!</v>
      </c>
      <c r="R388" s="283"/>
      <c r="S388" s="283"/>
      <c r="T388" s="182"/>
      <c r="U388" s="182"/>
      <c r="V388" s="182"/>
      <c r="W388" s="182"/>
      <c r="X388" s="182"/>
      <c r="Y388" s="182"/>
      <c r="Z388" s="182"/>
      <c r="AA388" s="182"/>
      <c r="AB388" s="182"/>
      <c r="AC388" s="182"/>
      <c r="AD388" s="182"/>
      <c r="AE388" s="182"/>
      <c r="AF388" s="182"/>
      <c r="AG388" s="182"/>
      <c r="AH388" s="182"/>
      <c r="AI388" s="182"/>
      <c r="AJ388" s="182"/>
      <c r="AK388" s="182"/>
      <c r="AL388" s="182"/>
      <c r="AM388" s="182"/>
      <c r="AN388" s="182"/>
      <c r="AO388" s="182"/>
      <c r="AP388" s="182"/>
      <c r="AQ388" s="182"/>
      <c r="AR388" s="182"/>
      <c r="AS388" s="182"/>
      <c r="AT388" s="182"/>
      <c r="AU388" s="182"/>
    </row>
    <row r="389" spans="3:47">
      <c r="C389" s="664">
        <v>4</v>
      </c>
      <c r="D389" s="283"/>
      <c r="E389" s="283"/>
      <c r="F389" s="283">
        <f t="shared" ref="F389:N389" si="154">F380*F372*J$302</f>
        <v>0</v>
      </c>
      <c r="G389" s="283" t="e">
        <f t="shared" si="154"/>
        <v>#DIV/0!</v>
      </c>
      <c r="H389" s="283" t="e">
        <f t="shared" si="154"/>
        <v>#DIV/0!</v>
      </c>
      <c r="I389" s="283" t="e">
        <f t="shared" si="154"/>
        <v>#DIV/0!</v>
      </c>
      <c r="J389" s="283" t="e">
        <f t="shared" si="154"/>
        <v>#DIV/0!</v>
      </c>
      <c r="K389" s="283" t="e">
        <f t="shared" si="154"/>
        <v>#DIV/0!</v>
      </c>
      <c r="L389" s="283" t="e">
        <f t="shared" si="154"/>
        <v>#DIV/0!</v>
      </c>
      <c r="M389" s="283" t="e">
        <f t="shared" si="154"/>
        <v>#DIV/0!</v>
      </c>
      <c r="N389" s="283" t="e">
        <f t="shared" si="154"/>
        <v>#DIV/0!</v>
      </c>
      <c r="O389" s="283" t="e">
        <f>O380*O372*S$302</f>
        <v>#DIV/0!</v>
      </c>
      <c r="P389" s="283" t="e">
        <f>P380*P372*T$302</f>
        <v>#DIV/0!</v>
      </c>
      <c r="Q389" s="667" t="e">
        <f>Q380*Q372*U$302</f>
        <v>#DIV/0!</v>
      </c>
      <c r="R389" s="283"/>
      <c r="S389" s="283"/>
      <c r="T389" s="182"/>
      <c r="U389" s="182"/>
      <c r="V389" s="182"/>
      <c r="W389" s="182"/>
      <c r="X389" s="182"/>
      <c r="Y389" s="182"/>
      <c r="Z389" s="182"/>
      <c r="AA389" s="182"/>
      <c r="AB389" s="182"/>
      <c r="AC389" s="182"/>
      <c r="AD389" s="182"/>
      <c r="AE389" s="182"/>
      <c r="AF389" s="182"/>
      <c r="AG389" s="182"/>
      <c r="AH389" s="182"/>
      <c r="AI389" s="182"/>
      <c r="AJ389" s="182"/>
      <c r="AK389" s="182"/>
      <c r="AL389" s="182"/>
      <c r="AM389" s="182"/>
      <c r="AN389" s="182"/>
      <c r="AO389" s="182"/>
      <c r="AP389" s="182"/>
      <c r="AQ389" s="182"/>
      <c r="AR389" s="182"/>
      <c r="AS389" s="182"/>
      <c r="AT389" s="182"/>
      <c r="AU389" s="182"/>
    </row>
    <row r="390" spans="3:47">
      <c r="C390" s="664">
        <v>5</v>
      </c>
      <c r="D390" s="283"/>
      <c r="E390" s="283"/>
      <c r="F390" s="283">
        <f t="shared" ref="F390:M390" si="155">F380*F372*K$302</f>
        <v>0</v>
      </c>
      <c r="G390" s="283" t="e">
        <f t="shared" si="155"/>
        <v>#DIV/0!</v>
      </c>
      <c r="H390" s="283" t="e">
        <f t="shared" si="155"/>
        <v>#DIV/0!</v>
      </c>
      <c r="I390" s="283" t="e">
        <f t="shared" si="155"/>
        <v>#DIV/0!</v>
      </c>
      <c r="J390" s="283" t="e">
        <f t="shared" si="155"/>
        <v>#DIV/0!</v>
      </c>
      <c r="K390" s="283" t="e">
        <f t="shared" si="155"/>
        <v>#DIV/0!</v>
      </c>
      <c r="L390" s="283" t="e">
        <f t="shared" si="155"/>
        <v>#DIV/0!</v>
      </c>
      <c r="M390" s="283" t="e">
        <f t="shared" si="155"/>
        <v>#DIV/0!</v>
      </c>
      <c r="N390" s="283" t="e">
        <f>N380*N372*S$302</f>
        <v>#DIV/0!</v>
      </c>
      <c r="O390" s="283" t="e">
        <f>O380*O372*T$302</f>
        <v>#DIV/0!</v>
      </c>
      <c r="P390" s="283" t="e">
        <f>P380*P372*U$302</f>
        <v>#DIV/0!</v>
      </c>
      <c r="Q390" s="667" t="e">
        <f>Q380*Q372*V$302</f>
        <v>#DIV/0!</v>
      </c>
      <c r="R390" s="283"/>
      <c r="S390" s="283"/>
      <c r="T390" s="182"/>
      <c r="U390" s="182"/>
      <c r="V390" s="182"/>
      <c r="W390" s="182"/>
      <c r="X390" s="182"/>
      <c r="Y390" s="182"/>
      <c r="Z390" s="182"/>
      <c r="AA390" s="182"/>
      <c r="AB390" s="182"/>
      <c r="AC390" s="182"/>
      <c r="AD390" s="182"/>
      <c r="AE390" s="182"/>
      <c r="AF390" s="182"/>
      <c r="AG390" s="182"/>
      <c r="AH390" s="182"/>
      <c r="AI390" s="182"/>
      <c r="AJ390" s="182"/>
      <c r="AK390" s="182"/>
      <c r="AL390" s="182"/>
      <c r="AM390" s="182"/>
      <c r="AN390" s="182"/>
      <c r="AO390" s="182"/>
      <c r="AP390" s="182"/>
      <c r="AQ390" s="182"/>
      <c r="AR390" s="182"/>
      <c r="AS390" s="182"/>
      <c r="AT390" s="182"/>
      <c r="AU390" s="182"/>
    </row>
    <row r="391" spans="3:47">
      <c r="C391" s="664">
        <v>6</v>
      </c>
      <c r="D391" s="283"/>
      <c r="E391" s="283"/>
      <c r="F391" s="283">
        <f>F380*F372*L$302</f>
        <v>0</v>
      </c>
      <c r="G391" s="283" t="e">
        <f t="shared" ref="G391:L391" si="156">G380*G372*M$302</f>
        <v>#DIV/0!</v>
      </c>
      <c r="H391" s="283" t="e">
        <f t="shared" si="156"/>
        <v>#DIV/0!</v>
      </c>
      <c r="I391" s="283" t="e">
        <f t="shared" si="156"/>
        <v>#DIV/0!</v>
      </c>
      <c r="J391" s="283" t="e">
        <f t="shared" si="156"/>
        <v>#DIV/0!</v>
      </c>
      <c r="K391" s="283" t="e">
        <f t="shared" si="156"/>
        <v>#DIV/0!</v>
      </c>
      <c r="L391" s="283" t="e">
        <f t="shared" si="156"/>
        <v>#DIV/0!</v>
      </c>
      <c r="M391" s="283" t="e">
        <f>M380*M372*S$302</f>
        <v>#DIV/0!</v>
      </c>
      <c r="N391" s="283" t="e">
        <f>N380*N372*T$302</f>
        <v>#DIV/0!</v>
      </c>
      <c r="O391" s="283" t="e">
        <f>O380*O372*U$302</f>
        <v>#DIV/0!</v>
      </c>
      <c r="P391" s="283" t="e">
        <f>P380*P372*V$302</f>
        <v>#DIV/0!</v>
      </c>
      <c r="Q391" s="667" t="e">
        <f>Q380*Q372*W$302</f>
        <v>#DIV/0!</v>
      </c>
      <c r="R391" s="283"/>
      <c r="S391" s="283"/>
      <c r="T391" s="182"/>
      <c r="U391" s="182"/>
      <c r="V391" s="182"/>
      <c r="W391" s="182"/>
      <c r="X391" s="182"/>
      <c r="Y391" s="182"/>
      <c r="Z391" s="182"/>
      <c r="AA391" s="182"/>
      <c r="AB391" s="182"/>
      <c r="AC391" s="182"/>
      <c r="AD391" s="182"/>
      <c r="AE391" s="182"/>
      <c r="AF391" s="182"/>
      <c r="AG391" s="182"/>
      <c r="AH391" s="182"/>
      <c r="AI391" s="182"/>
      <c r="AJ391" s="182"/>
      <c r="AK391" s="182"/>
      <c r="AL391" s="182"/>
      <c r="AM391" s="182"/>
      <c r="AN391" s="182"/>
      <c r="AO391" s="182"/>
      <c r="AP391" s="182"/>
      <c r="AQ391" s="182"/>
      <c r="AR391" s="182"/>
      <c r="AS391" s="182"/>
      <c r="AT391" s="182"/>
      <c r="AU391" s="182"/>
    </row>
    <row r="392" spans="3:47">
      <c r="C392" s="664">
        <v>7</v>
      </c>
      <c r="D392" s="283"/>
      <c r="E392" s="283"/>
      <c r="F392" s="283">
        <f>F380*F372*M$302</f>
        <v>0</v>
      </c>
      <c r="G392" s="283" t="e">
        <f t="shared" ref="G392:K392" si="157">G380*G372*N$302</f>
        <v>#DIV/0!</v>
      </c>
      <c r="H392" s="283" t="e">
        <f t="shared" si="157"/>
        <v>#DIV/0!</v>
      </c>
      <c r="I392" s="283" t="e">
        <f t="shared" si="157"/>
        <v>#DIV/0!</v>
      </c>
      <c r="J392" s="283" t="e">
        <f t="shared" si="157"/>
        <v>#DIV/0!</v>
      </c>
      <c r="K392" s="283" t="e">
        <f t="shared" si="157"/>
        <v>#DIV/0!</v>
      </c>
      <c r="L392" s="283" t="e">
        <f t="shared" ref="L392:Q392" si="158">L380*L372*S$302</f>
        <v>#DIV/0!</v>
      </c>
      <c r="M392" s="283" t="e">
        <f t="shared" si="158"/>
        <v>#DIV/0!</v>
      </c>
      <c r="N392" s="283" t="e">
        <f t="shared" si="158"/>
        <v>#DIV/0!</v>
      </c>
      <c r="O392" s="283" t="e">
        <f t="shared" si="158"/>
        <v>#DIV/0!</v>
      </c>
      <c r="P392" s="283" t="e">
        <f t="shared" si="158"/>
        <v>#DIV/0!</v>
      </c>
      <c r="Q392" s="667" t="e">
        <f t="shared" si="158"/>
        <v>#DIV/0!</v>
      </c>
      <c r="R392" s="283"/>
      <c r="S392" s="283"/>
      <c r="T392" s="182"/>
      <c r="U392" s="182"/>
      <c r="V392" s="182"/>
      <c r="W392" s="182"/>
      <c r="X392" s="182"/>
      <c r="Y392" s="182"/>
      <c r="Z392" s="182"/>
      <c r="AA392" s="182"/>
      <c r="AB392" s="182"/>
      <c r="AC392" s="182"/>
      <c r="AD392" s="182"/>
      <c r="AE392" s="182"/>
      <c r="AF392" s="182"/>
      <c r="AG392" s="182"/>
      <c r="AH392" s="182"/>
      <c r="AI392" s="182"/>
      <c r="AJ392" s="182"/>
      <c r="AK392" s="182"/>
      <c r="AL392" s="182"/>
      <c r="AM392" s="182"/>
      <c r="AN392" s="182"/>
      <c r="AO392" s="182"/>
      <c r="AP392" s="182"/>
      <c r="AQ392" s="182"/>
      <c r="AR392" s="182"/>
      <c r="AS392" s="182"/>
      <c r="AT392" s="182"/>
      <c r="AU392" s="182"/>
    </row>
    <row r="393" spans="3:47">
      <c r="C393" s="664">
        <v>8</v>
      </c>
      <c r="D393" s="283"/>
      <c r="E393" s="283"/>
      <c r="F393" s="283">
        <f>F380*F372*N$302</f>
        <v>0</v>
      </c>
      <c r="G393" s="283" t="e">
        <f t="shared" ref="G393:J393" si="159">G380*G372*O$302</f>
        <v>#DIV/0!</v>
      </c>
      <c r="H393" s="283" t="e">
        <f t="shared" si="159"/>
        <v>#DIV/0!</v>
      </c>
      <c r="I393" s="283" t="e">
        <f t="shared" si="159"/>
        <v>#DIV/0!</v>
      </c>
      <c r="J393" s="283" t="e">
        <f t="shared" si="159"/>
        <v>#DIV/0!</v>
      </c>
      <c r="K393" s="283" t="e">
        <f t="shared" ref="K393:Q393" si="160">K380*K372*S$302</f>
        <v>#DIV/0!</v>
      </c>
      <c r="L393" s="283" t="e">
        <f t="shared" si="160"/>
        <v>#DIV/0!</v>
      </c>
      <c r="M393" s="283" t="e">
        <f t="shared" si="160"/>
        <v>#DIV/0!</v>
      </c>
      <c r="N393" s="283" t="e">
        <f t="shared" si="160"/>
        <v>#DIV/0!</v>
      </c>
      <c r="O393" s="283" t="e">
        <f t="shared" si="160"/>
        <v>#DIV/0!</v>
      </c>
      <c r="P393" s="283" t="e">
        <f t="shared" si="160"/>
        <v>#DIV/0!</v>
      </c>
      <c r="Q393" s="667" t="e">
        <f t="shared" si="160"/>
        <v>#DIV/0!</v>
      </c>
      <c r="R393" s="283"/>
      <c r="S393" s="283"/>
      <c r="T393" s="182"/>
      <c r="U393" s="182"/>
      <c r="V393" s="182"/>
      <c r="W393" s="182"/>
      <c r="X393" s="182"/>
      <c r="Y393" s="182"/>
      <c r="Z393" s="182"/>
      <c r="AA393" s="182"/>
      <c r="AB393" s="182"/>
      <c r="AC393" s="182"/>
      <c r="AD393" s="182"/>
      <c r="AE393" s="182"/>
      <c r="AF393" s="182"/>
      <c r="AG393" s="182"/>
      <c r="AH393" s="182"/>
      <c r="AI393" s="182"/>
      <c r="AJ393" s="182"/>
      <c r="AK393" s="182"/>
      <c r="AL393" s="182"/>
      <c r="AM393" s="182"/>
      <c r="AN393" s="182"/>
      <c r="AO393" s="182"/>
      <c r="AP393" s="182"/>
      <c r="AQ393" s="182"/>
      <c r="AR393" s="182"/>
      <c r="AS393" s="182"/>
      <c r="AT393" s="182"/>
      <c r="AU393" s="182"/>
    </row>
    <row r="394" spans="3:47">
      <c r="C394" s="664">
        <v>9</v>
      </c>
      <c r="D394" s="283"/>
      <c r="E394" s="283"/>
      <c r="F394" s="283">
        <f>F380*F372*O$302</f>
        <v>0</v>
      </c>
      <c r="G394" s="283" t="e">
        <f t="shared" ref="G394:I394" si="161">G380*G372*P$302</f>
        <v>#DIV/0!</v>
      </c>
      <c r="H394" s="283" t="e">
        <f t="shared" si="161"/>
        <v>#DIV/0!</v>
      </c>
      <c r="I394" s="283" t="e">
        <f t="shared" si="161"/>
        <v>#DIV/0!</v>
      </c>
      <c r="J394" s="283" t="e">
        <f t="shared" ref="J394:Q394" si="162">J380*J372*S$302</f>
        <v>#DIV/0!</v>
      </c>
      <c r="K394" s="283" t="e">
        <f t="shared" si="162"/>
        <v>#DIV/0!</v>
      </c>
      <c r="L394" s="283" t="e">
        <f t="shared" si="162"/>
        <v>#DIV/0!</v>
      </c>
      <c r="M394" s="283" t="e">
        <f t="shared" si="162"/>
        <v>#DIV/0!</v>
      </c>
      <c r="N394" s="283" t="e">
        <f t="shared" si="162"/>
        <v>#DIV/0!</v>
      </c>
      <c r="O394" s="283" t="e">
        <f t="shared" si="162"/>
        <v>#DIV/0!</v>
      </c>
      <c r="P394" s="283" t="e">
        <f t="shared" si="162"/>
        <v>#DIV/0!</v>
      </c>
      <c r="Q394" s="667" t="e">
        <f t="shared" si="162"/>
        <v>#DIV/0!</v>
      </c>
      <c r="R394" s="283"/>
      <c r="S394" s="283"/>
      <c r="T394" s="182"/>
      <c r="U394" s="182"/>
      <c r="V394" s="182"/>
      <c r="W394" s="182"/>
      <c r="X394" s="182"/>
      <c r="Y394" s="182"/>
      <c r="Z394" s="182"/>
      <c r="AA394" s="182"/>
      <c r="AB394" s="182"/>
      <c r="AC394" s="182"/>
      <c r="AD394" s="182"/>
      <c r="AE394" s="182"/>
      <c r="AF394" s="182"/>
      <c r="AG394" s="182"/>
      <c r="AH394" s="182"/>
      <c r="AI394" s="182"/>
      <c r="AJ394" s="182"/>
      <c r="AK394" s="182"/>
      <c r="AL394" s="182"/>
      <c r="AM394" s="182"/>
      <c r="AN394" s="182"/>
      <c r="AO394" s="182"/>
      <c r="AP394" s="182"/>
      <c r="AQ394" s="182"/>
      <c r="AR394" s="182"/>
      <c r="AS394" s="182"/>
      <c r="AT394" s="182"/>
      <c r="AU394" s="182"/>
    </row>
    <row r="395" spans="3:47">
      <c r="C395" s="664">
        <v>10</v>
      </c>
      <c r="D395" s="283"/>
      <c r="E395" s="283"/>
      <c r="F395" s="283">
        <f>F380*F372*'Deuda a emitir'!P$13</f>
        <v>0</v>
      </c>
      <c r="G395" s="283" t="e">
        <f>G380*G372*'Deuda a emitir'!Q$13</f>
        <v>#DIV/0!</v>
      </c>
      <c r="H395" s="283" t="e">
        <f>H380*H372*'Deuda a emitir'!R$13</f>
        <v>#DIV/0!</v>
      </c>
      <c r="I395" s="283" t="e">
        <f>I380*I372*'Deuda a emitir'!S$13</f>
        <v>#DIV/0!</v>
      </c>
      <c r="J395" s="283" t="e">
        <f>J380*J372*'Deuda a emitir'!T$13</f>
        <v>#DIV/0!</v>
      </c>
      <c r="K395" s="283" t="e">
        <f>K380*K372*'Deuda a emitir'!U$13</f>
        <v>#DIV/0!</v>
      </c>
      <c r="L395" s="283" t="e">
        <f>L380*L372*'Deuda a emitir'!V$13</f>
        <v>#DIV/0!</v>
      </c>
      <c r="M395" s="283" t="e">
        <f>M380*M372*'Deuda a emitir'!W$13</f>
        <v>#DIV/0!</v>
      </c>
      <c r="N395" s="283" t="e">
        <f>N380*N372*'Deuda a emitir'!X$13</f>
        <v>#DIV/0!</v>
      </c>
      <c r="O395" s="283" t="e">
        <f>O380*O372*'Deuda a emitir'!Y$13</f>
        <v>#DIV/0!</v>
      </c>
      <c r="P395" s="283" t="e">
        <f>P380*P372*'Deuda a emitir'!Z$13</f>
        <v>#DIV/0!</v>
      </c>
      <c r="Q395" s="667" t="e">
        <f>Q380*Q372*'Deuda a emitir'!AA$13</f>
        <v>#DIV/0!</v>
      </c>
      <c r="R395" s="283"/>
      <c r="S395" s="283"/>
      <c r="T395" s="182"/>
      <c r="U395" s="182"/>
      <c r="V395" s="182"/>
      <c r="W395" s="182"/>
      <c r="X395" s="182"/>
      <c r="Y395" s="182"/>
      <c r="Z395" s="182"/>
      <c r="AA395" s="182"/>
      <c r="AB395" s="182"/>
      <c r="AC395" s="182"/>
      <c r="AD395" s="182"/>
      <c r="AE395" s="182"/>
      <c r="AF395" s="182"/>
      <c r="AG395" s="182"/>
      <c r="AH395" s="182"/>
      <c r="AI395" s="182"/>
      <c r="AJ395" s="182"/>
      <c r="AK395" s="182"/>
      <c r="AL395" s="182"/>
      <c r="AM395" s="182"/>
      <c r="AN395" s="182"/>
      <c r="AO395" s="182"/>
      <c r="AP395" s="182"/>
      <c r="AQ395" s="182"/>
      <c r="AR395" s="182"/>
      <c r="AS395" s="182"/>
      <c r="AT395" s="182"/>
      <c r="AU395" s="182"/>
    </row>
    <row r="396" spans="3:47">
      <c r="C396" s="664">
        <v>11</v>
      </c>
      <c r="D396" s="283"/>
      <c r="E396" s="283"/>
      <c r="F396" s="283">
        <f>F380*F372*'Deuda a emitir'!Q$13</f>
        <v>0</v>
      </c>
      <c r="G396" s="283" t="e">
        <f>G380*G372*'Deuda a emitir'!R$13</f>
        <v>#DIV/0!</v>
      </c>
      <c r="H396" s="283" t="e">
        <f>H380*H372*'Deuda a emitir'!S$13</f>
        <v>#DIV/0!</v>
      </c>
      <c r="I396" s="283" t="e">
        <f>I380*I372*'Deuda a emitir'!T$13</f>
        <v>#DIV/0!</v>
      </c>
      <c r="J396" s="283" t="e">
        <f>J380*J372*'Deuda a emitir'!U$13</f>
        <v>#DIV/0!</v>
      </c>
      <c r="K396" s="283" t="e">
        <f>K380*K372*'Deuda a emitir'!V$13</f>
        <v>#DIV/0!</v>
      </c>
      <c r="L396" s="283" t="e">
        <f>L380*L372*'Deuda a emitir'!W$13</f>
        <v>#DIV/0!</v>
      </c>
      <c r="M396" s="283" t="e">
        <f>M380*M372*'Deuda a emitir'!X$13</f>
        <v>#DIV/0!</v>
      </c>
      <c r="N396" s="283" t="e">
        <f>N380*N372*'Deuda a emitir'!Y$13</f>
        <v>#DIV/0!</v>
      </c>
      <c r="O396" s="283" t="e">
        <f>O380*O372*'Deuda a emitir'!Z$13</f>
        <v>#DIV/0!</v>
      </c>
      <c r="P396" s="283" t="e">
        <f>P380*P372*'Deuda a emitir'!AA$13</f>
        <v>#DIV/0!</v>
      </c>
      <c r="Q396" s="667" t="e">
        <f>Q380*Q372*'Deuda a emitir'!AB$13</f>
        <v>#DIV/0!</v>
      </c>
      <c r="R396" s="283"/>
      <c r="S396" s="283"/>
      <c r="T396" s="182"/>
      <c r="U396" s="182"/>
      <c r="V396" s="182"/>
      <c r="W396" s="182"/>
      <c r="X396" s="182"/>
      <c r="Y396" s="182"/>
      <c r="Z396" s="182"/>
      <c r="AA396" s="182"/>
      <c r="AB396" s="182"/>
      <c r="AC396" s="182"/>
      <c r="AD396" s="182"/>
      <c r="AE396" s="182"/>
      <c r="AF396" s="182"/>
      <c r="AG396" s="182"/>
      <c r="AH396" s="182"/>
      <c r="AI396" s="182"/>
      <c r="AJ396" s="182"/>
      <c r="AK396" s="182"/>
      <c r="AL396" s="182"/>
      <c r="AM396" s="182"/>
      <c r="AN396" s="182"/>
      <c r="AO396" s="182"/>
      <c r="AP396" s="182"/>
      <c r="AQ396" s="182"/>
      <c r="AR396" s="182"/>
      <c r="AS396" s="182"/>
      <c r="AT396" s="182"/>
      <c r="AU396" s="182"/>
    </row>
    <row r="397" spans="3:47">
      <c r="C397" s="664">
        <v>12</v>
      </c>
      <c r="D397" s="283"/>
      <c r="E397" s="283"/>
      <c r="F397" s="283">
        <f>F380*F372*'Deuda a emitir'!R$13</f>
        <v>0</v>
      </c>
      <c r="G397" s="283" t="e">
        <f>G380*G372*'Deuda a emitir'!S$13</f>
        <v>#DIV/0!</v>
      </c>
      <c r="H397" s="283" t="e">
        <f>H380*H372*'Deuda a emitir'!T$13</f>
        <v>#DIV/0!</v>
      </c>
      <c r="I397" s="283" t="e">
        <f>I380*I372*'Deuda a emitir'!U$13</f>
        <v>#DIV/0!</v>
      </c>
      <c r="J397" s="283" t="e">
        <f>J380*J372*'Deuda a emitir'!V$13</f>
        <v>#DIV/0!</v>
      </c>
      <c r="K397" s="283" t="e">
        <f>K380*K372*'Deuda a emitir'!W$13</f>
        <v>#DIV/0!</v>
      </c>
      <c r="L397" s="283" t="e">
        <f>L380*L372*'Deuda a emitir'!X$13</f>
        <v>#DIV/0!</v>
      </c>
      <c r="M397" s="283" t="e">
        <f>M380*M372*'Deuda a emitir'!Y$13</f>
        <v>#DIV/0!</v>
      </c>
      <c r="N397" s="283" t="e">
        <f>N380*N372*'Deuda a emitir'!Z$13</f>
        <v>#DIV/0!</v>
      </c>
      <c r="O397" s="283" t="e">
        <f>O380*O372*'Deuda a emitir'!AA$13</f>
        <v>#DIV/0!</v>
      </c>
      <c r="P397" s="283" t="e">
        <f>P380*P372*'Deuda a emitir'!AB$13</f>
        <v>#DIV/0!</v>
      </c>
      <c r="Q397" s="667" t="e">
        <f>Q380*Q372*'Deuda a emitir'!AC$13</f>
        <v>#DIV/0!</v>
      </c>
      <c r="R397" s="283"/>
      <c r="S397" s="283"/>
      <c r="T397" s="182"/>
      <c r="U397" s="182"/>
      <c r="V397" s="182"/>
      <c r="W397" s="182"/>
      <c r="X397" s="182"/>
      <c r="Y397" s="182"/>
      <c r="Z397" s="182"/>
      <c r="AA397" s="182"/>
      <c r="AB397" s="182"/>
      <c r="AC397" s="182"/>
      <c r="AD397" s="182"/>
      <c r="AE397" s="182"/>
      <c r="AF397" s="182"/>
      <c r="AG397" s="182"/>
      <c r="AH397" s="182"/>
      <c r="AI397" s="182"/>
      <c r="AJ397" s="182"/>
      <c r="AK397" s="182"/>
      <c r="AL397" s="182"/>
      <c r="AM397" s="182"/>
      <c r="AN397" s="182"/>
      <c r="AO397" s="182"/>
      <c r="AP397" s="182"/>
      <c r="AQ397" s="182"/>
      <c r="AR397" s="182"/>
      <c r="AS397" s="182"/>
      <c r="AT397" s="182"/>
      <c r="AU397" s="182"/>
    </row>
    <row r="398" spans="3:47">
      <c r="C398" s="664">
        <v>13</v>
      </c>
      <c r="D398" s="283"/>
      <c r="E398" s="283"/>
      <c r="F398" s="283">
        <f>F380*F372*'Deuda a emitir'!S$13</f>
        <v>0</v>
      </c>
      <c r="G398" s="283" t="e">
        <f>G380*G372*'Deuda a emitir'!T$13</f>
        <v>#DIV/0!</v>
      </c>
      <c r="H398" s="283" t="e">
        <f>H380*H372*'Deuda a emitir'!U$13</f>
        <v>#DIV/0!</v>
      </c>
      <c r="I398" s="283" t="e">
        <f>I380*I372*'Deuda a emitir'!V$13</f>
        <v>#DIV/0!</v>
      </c>
      <c r="J398" s="283" t="e">
        <f>J380*J372*'Deuda a emitir'!W$13</f>
        <v>#DIV/0!</v>
      </c>
      <c r="K398" s="283" t="e">
        <f>K380*K372*'Deuda a emitir'!X$13</f>
        <v>#DIV/0!</v>
      </c>
      <c r="L398" s="283" t="e">
        <f>L380*L372*'Deuda a emitir'!Y$13</f>
        <v>#DIV/0!</v>
      </c>
      <c r="M398" s="283" t="e">
        <f>M380*M372*'Deuda a emitir'!Z$13</f>
        <v>#DIV/0!</v>
      </c>
      <c r="N398" s="283" t="e">
        <f>N380*N372*'Deuda a emitir'!AA$13</f>
        <v>#DIV/0!</v>
      </c>
      <c r="O398" s="283" t="e">
        <f>O380*O372*'Deuda a emitir'!AB$13</f>
        <v>#DIV/0!</v>
      </c>
      <c r="P398" s="283" t="e">
        <f>P380*P372*'Deuda a emitir'!AC$13</f>
        <v>#DIV/0!</v>
      </c>
      <c r="Q398" s="667" t="e">
        <f>Q380*Q372*'Deuda a emitir'!AD$13</f>
        <v>#DIV/0!</v>
      </c>
      <c r="R398" s="283"/>
      <c r="S398" s="283"/>
      <c r="T398" s="182"/>
      <c r="U398" s="182"/>
      <c r="V398" s="182"/>
      <c r="W398" s="182"/>
      <c r="X398" s="182"/>
      <c r="Y398" s="182"/>
      <c r="Z398" s="182"/>
      <c r="AA398" s="182"/>
      <c r="AB398" s="182"/>
      <c r="AC398" s="182"/>
      <c r="AD398" s="182"/>
      <c r="AE398" s="182"/>
      <c r="AF398" s="182"/>
      <c r="AG398" s="182"/>
      <c r="AH398" s="182"/>
      <c r="AI398" s="182"/>
      <c r="AJ398" s="182"/>
      <c r="AK398" s="182"/>
      <c r="AL398" s="182"/>
      <c r="AM398" s="182"/>
      <c r="AN398" s="182"/>
      <c r="AO398" s="182"/>
      <c r="AP398" s="182"/>
      <c r="AQ398" s="182"/>
      <c r="AR398" s="182"/>
      <c r="AS398" s="182"/>
      <c r="AT398" s="182"/>
      <c r="AU398" s="182"/>
    </row>
    <row r="399" spans="3:47">
      <c r="C399" s="664">
        <v>14</v>
      </c>
      <c r="D399" s="283"/>
      <c r="E399" s="283"/>
      <c r="F399" s="283">
        <f>F380*F372*'Deuda a emitir'!T$13</f>
        <v>0</v>
      </c>
      <c r="G399" s="283" t="e">
        <f>G380*G372*'Deuda a emitir'!U$13</f>
        <v>#DIV/0!</v>
      </c>
      <c r="H399" s="283" t="e">
        <f>H380*H372*'Deuda a emitir'!V$13</f>
        <v>#DIV/0!</v>
      </c>
      <c r="I399" s="283" t="e">
        <f>I380*I372*'Deuda a emitir'!W$13</f>
        <v>#DIV/0!</v>
      </c>
      <c r="J399" s="283" t="e">
        <f>J380*J372*'Deuda a emitir'!X$13</f>
        <v>#DIV/0!</v>
      </c>
      <c r="K399" s="283" t="e">
        <f>K380*K372*'Deuda a emitir'!Y$13</f>
        <v>#DIV/0!</v>
      </c>
      <c r="L399" s="283" t="e">
        <f>L380*L372*'Deuda a emitir'!Z$13</f>
        <v>#DIV/0!</v>
      </c>
      <c r="M399" s="283" t="e">
        <f>M380*M372*'Deuda a emitir'!AA$13</f>
        <v>#DIV/0!</v>
      </c>
      <c r="N399" s="283" t="e">
        <f>N380*N372*'Deuda a emitir'!AB$13</f>
        <v>#DIV/0!</v>
      </c>
      <c r="O399" s="283" t="e">
        <f>O380*O372*'Deuda a emitir'!AC$13</f>
        <v>#DIV/0!</v>
      </c>
      <c r="P399" s="283" t="e">
        <f>P380*P372*'Deuda a emitir'!AD$13</f>
        <v>#DIV/0!</v>
      </c>
      <c r="Q399" s="667" t="e">
        <f>Q380*Q372*'Deuda a emitir'!AE$13</f>
        <v>#DIV/0!</v>
      </c>
      <c r="R399" s="283"/>
      <c r="S399" s="283"/>
      <c r="T399" s="182"/>
      <c r="U399" s="182"/>
      <c r="V399" s="182"/>
      <c r="W399" s="182"/>
      <c r="X399" s="182"/>
      <c r="Y399" s="182"/>
      <c r="Z399" s="182"/>
      <c r="AA399" s="182"/>
      <c r="AB399" s="182"/>
      <c r="AC399" s="182"/>
      <c r="AD399" s="182"/>
      <c r="AE399" s="182"/>
      <c r="AF399" s="182"/>
      <c r="AG399" s="182"/>
      <c r="AH399" s="182"/>
      <c r="AI399" s="182"/>
      <c r="AJ399" s="182"/>
      <c r="AK399" s="182"/>
      <c r="AL399" s="182"/>
      <c r="AM399" s="182"/>
      <c r="AN399" s="182"/>
      <c r="AO399" s="182"/>
      <c r="AP399" s="182"/>
      <c r="AQ399" s="182"/>
      <c r="AR399" s="182"/>
      <c r="AS399" s="182"/>
      <c r="AT399" s="182"/>
      <c r="AU399" s="182"/>
    </row>
    <row r="400" spans="3:47">
      <c r="C400" s="664">
        <v>15</v>
      </c>
      <c r="D400" s="283"/>
      <c r="E400" s="283"/>
      <c r="F400" s="283">
        <f>F380*F372*'Deuda a emitir'!U$13</f>
        <v>0</v>
      </c>
      <c r="G400" s="283" t="e">
        <f>G380*G372*'Deuda a emitir'!V$13</f>
        <v>#DIV/0!</v>
      </c>
      <c r="H400" s="283" t="e">
        <f>H380*H372*'Deuda a emitir'!W$13</f>
        <v>#DIV/0!</v>
      </c>
      <c r="I400" s="283" t="e">
        <f>I380*I372*'Deuda a emitir'!X$13</f>
        <v>#DIV/0!</v>
      </c>
      <c r="J400" s="283" t="e">
        <f>J380*J372*'Deuda a emitir'!Y$13</f>
        <v>#DIV/0!</v>
      </c>
      <c r="K400" s="283" t="e">
        <f>K380*K372*'Deuda a emitir'!Z$13</f>
        <v>#DIV/0!</v>
      </c>
      <c r="L400" s="283" t="e">
        <f>L380*L372*'Deuda a emitir'!AA$13</f>
        <v>#DIV/0!</v>
      </c>
      <c r="M400" s="283" t="e">
        <f>M380*M372*'Deuda a emitir'!AB$13</f>
        <v>#DIV/0!</v>
      </c>
      <c r="N400" s="283" t="e">
        <f>N380*N372*'Deuda a emitir'!AC$13</f>
        <v>#DIV/0!</v>
      </c>
      <c r="O400" s="283" t="e">
        <f>O380*O372*'Deuda a emitir'!AD$13</f>
        <v>#DIV/0!</v>
      </c>
      <c r="P400" s="283" t="e">
        <f>P380*P372*'Deuda a emitir'!AE$13</f>
        <v>#DIV/0!</v>
      </c>
      <c r="Q400" s="667" t="e">
        <f>Q380*Q372*'Deuda a emitir'!AF$13</f>
        <v>#DIV/0!</v>
      </c>
      <c r="R400" s="283"/>
      <c r="S400" s="283"/>
      <c r="T400" s="182"/>
      <c r="U400" s="182"/>
      <c r="V400" s="182"/>
      <c r="W400" s="182"/>
      <c r="X400" s="182"/>
      <c r="Y400" s="182"/>
      <c r="Z400" s="182"/>
      <c r="AA400" s="182"/>
      <c r="AB400" s="182"/>
      <c r="AC400" s="182"/>
      <c r="AD400" s="182"/>
      <c r="AE400" s="182"/>
      <c r="AF400" s="182"/>
      <c r="AG400" s="182"/>
      <c r="AH400" s="182"/>
      <c r="AI400" s="182"/>
      <c r="AJ400" s="182"/>
      <c r="AK400" s="182"/>
      <c r="AL400" s="182"/>
      <c r="AM400" s="182"/>
      <c r="AN400" s="182"/>
      <c r="AO400" s="182"/>
      <c r="AP400" s="182"/>
      <c r="AQ400" s="182"/>
      <c r="AR400" s="182"/>
      <c r="AS400" s="182"/>
      <c r="AT400" s="182"/>
      <c r="AU400" s="182"/>
    </row>
    <row r="401" spans="3:47">
      <c r="C401" s="664">
        <v>16</v>
      </c>
      <c r="D401" s="283"/>
      <c r="E401" s="283"/>
      <c r="F401" s="283">
        <f>F380*F372*'Deuda a emitir'!V$13</f>
        <v>0</v>
      </c>
      <c r="G401" s="283" t="e">
        <f>G380*G372*'Deuda a emitir'!W$13</f>
        <v>#DIV/0!</v>
      </c>
      <c r="H401" s="283" t="e">
        <f>H380*H372*'Deuda a emitir'!X$13</f>
        <v>#DIV/0!</v>
      </c>
      <c r="I401" s="283" t="e">
        <f>I380*I372*'Deuda a emitir'!Y$13</f>
        <v>#DIV/0!</v>
      </c>
      <c r="J401" s="283" t="e">
        <f>J380*J372*'Deuda a emitir'!Z$13</f>
        <v>#DIV/0!</v>
      </c>
      <c r="K401" s="283" t="e">
        <f>K380*K372*'Deuda a emitir'!AA$13</f>
        <v>#DIV/0!</v>
      </c>
      <c r="L401" s="283" t="e">
        <f>L380*L372*'Deuda a emitir'!AB$13</f>
        <v>#DIV/0!</v>
      </c>
      <c r="M401" s="283" t="e">
        <f>M380*M372*'Deuda a emitir'!AC$13</f>
        <v>#DIV/0!</v>
      </c>
      <c r="N401" s="283" t="e">
        <f>N380*N372*'Deuda a emitir'!AD$13</f>
        <v>#DIV/0!</v>
      </c>
      <c r="O401" s="283" t="e">
        <f>O380*O372*'Deuda a emitir'!AE$13</f>
        <v>#DIV/0!</v>
      </c>
      <c r="P401" s="283" t="e">
        <f>P380*P372*'Deuda a emitir'!AF$13</f>
        <v>#DIV/0!</v>
      </c>
      <c r="Q401" s="667" t="e">
        <f>Q380*Q372*'Deuda a emitir'!AG$13</f>
        <v>#DIV/0!</v>
      </c>
      <c r="R401" s="283"/>
      <c r="S401" s="283"/>
      <c r="T401" s="182"/>
      <c r="U401" s="182"/>
      <c r="V401" s="182"/>
      <c r="W401" s="182"/>
      <c r="X401" s="182"/>
      <c r="Y401" s="182"/>
      <c r="Z401" s="182"/>
      <c r="AA401" s="182"/>
      <c r="AB401" s="182"/>
      <c r="AC401" s="182"/>
      <c r="AD401" s="182"/>
      <c r="AE401" s="182"/>
      <c r="AF401" s="182"/>
      <c r="AG401" s="182"/>
      <c r="AH401" s="182"/>
      <c r="AI401" s="182"/>
      <c r="AJ401" s="182"/>
      <c r="AK401" s="182"/>
      <c r="AL401" s="182"/>
      <c r="AM401" s="182"/>
      <c r="AN401" s="182"/>
      <c r="AO401" s="182"/>
      <c r="AP401" s="182"/>
      <c r="AQ401" s="182"/>
      <c r="AR401" s="182"/>
      <c r="AS401" s="182"/>
      <c r="AT401" s="182"/>
      <c r="AU401" s="182"/>
    </row>
    <row r="402" spans="3:47">
      <c r="C402" s="664">
        <v>17</v>
      </c>
      <c r="D402" s="283"/>
      <c r="E402" s="283"/>
      <c r="F402" s="283">
        <f>F380*F372*'Deuda a emitir'!W$13</f>
        <v>0</v>
      </c>
      <c r="G402" s="283" t="e">
        <f>G380*G372*'Deuda a emitir'!X$13</f>
        <v>#DIV/0!</v>
      </c>
      <c r="H402" s="283" t="e">
        <f>H380*H372*'Deuda a emitir'!Y$13</f>
        <v>#DIV/0!</v>
      </c>
      <c r="I402" s="283" t="e">
        <f>I380*I372*'Deuda a emitir'!Z$13</f>
        <v>#DIV/0!</v>
      </c>
      <c r="J402" s="283" t="e">
        <f>J380*J372*'Deuda a emitir'!AA$13</f>
        <v>#DIV/0!</v>
      </c>
      <c r="K402" s="283" t="e">
        <f>K380*K372*'Deuda a emitir'!AB$13</f>
        <v>#DIV/0!</v>
      </c>
      <c r="L402" s="283" t="e">
        <f>L380*L372*'Deuda a emitir'!AC$13</f>
        <v>#DIV/0!</v>
      </c>
      <c r="M402" s="283" t="e">
        <f>M380*M372*'Deuda a emitir'!AD$13</f>
        <v>#DIV/0!</v>
      </c>
      <c r="N402" s="283" t="e">
        <f>N380*N372*'Deuda a emitir'!AE$13</f>
        <v>#DIV/0!</v>
      </c>
      <c r="O402" s="283" t="e">
        <f>O380*O372*'Deuda a emitir'!AF$13</f>
        <v>#DIV/0!</v>
      </c>
      <c r="P402" s="283" t="e">
        <f>P380*P372*'Deuda a emitir'!AG$13</f>
        <v>#DIV/0!</v>
      </c>
      <c r="Q402" s="667" t="e">
        <f>Q380*Q372*'Deuda a emitir'!AH$13</f>
        <v>#DIV/0!</v>
      </c>
      <c r="R402" s="283"/>
      <c r="S402" s="283"/>
      <c r="T402" s="182"/>
      <c r="U402" s="182"/>
      <c r="V402" s="182"/>
      <c r="W402" s="182"/>
      <c r="X402" s="182"/>
      <c r="Y402" s="182"/>
      <c r="Z402" s="182"/>
      <c r="AA402" s="182"/>
      <c r="AB402" s="182"/>
      <c r="AC402" s="182"/>
      <c r="AD402" s="182"/>
      <c r="AE402" s="182"/>
      <c r="AF402" s="182"/>
      <c r="AG402" s="182"/>
      <c r="AH402" s="182"/>
      <c r="AI402" s="182"/>
      <c r="AJ402" s="182"/>
      <c r="AK402" s="182"/>
      <c r="AL402" s="182"/>
      <c r="AM402" s="182"/>
      <c r="AN402" s="182"/>
      <c r="AO402" s="182"/>
      <c r="AP402" s="182"/>
      <c r="AQ402" s="182"/>
      <c r="AR402" s="182"/>
      <c r="AS402" s="182"/>
      <c r="AT402" s="182"/>
      <c r="AU402" s="182"/>
    </row>
    <row r="403" spans="3:47">
      <c r="C403" s="664">
        <v>18</v>
      </c>
      <c r="D403" s="283"/>
      <c r="E403" s="283"/>
      <c r="F403" s="283">
        <f>F380*F372*'Deuda a emitir'!X$13</f>
        <v>0</v>
      </c>
      <c r="G403" s="283" t="e">
        <f>G380*G372*'Deuda a emitir'!Y$13</f>
        <v>#DIV/0!</v>
      </c>
      <c r="H403" s="283" t="e">
        <f>H380*H372*'Deuda a emitir'!Z$13</f>
        <v>#DIV/0!</v>
      </c>
      <c r="I403" s="283" t="e">
        <f>I380*I372*'Deuda a emitir'!AA$13</f>
        <v>#DIV/0!</v>
      </c>
      <c r="J403" s="283" t="e">
        <f>J380*J372*'Deuda a emitir'!AB$13</f>
        <v>#DIV/0!</v>
      </c>
      <c r="K403" s="283" t="e">
        <f>K380*K372*'Deuda a emitir'!AC$13</f>
        <v>#DIV/0!</v>
      </c>
      <c r="L403" s="283" t="e">
        <f>L380*L372*'Deuda a emitir'!AD$13</f>
        <v>#DIV/0!</v>
      </c>
      <c r="M403" s="283" t="e">
        <f>M380*M372*'Deuda a emitir'!AE$13</f>
        <v>#DIV/0!</v>
      </c>
      <c r="N403" s="283" t="e">
        <f>N380*N372*'Deuda a emitir'!AF$13</f>
        <v>#DIV/0!</v>
      </c>
      <c r="O403" s="283" t="e">
        <f>O380*O372*'Deuda a emitir'!AG$13</f>
        <v>#DIV/0!</v>
      </c>
      <c r="P403" s="283" t="e">
        <f>P380*P372*'Deuda a emitir'!AH$13</f>
        <v>#DIV/0!</v>
      </c>
      <c r="Q403" s="667" t="e">
        <f>Q380*Q372*'Deuda a emitir'!AI$13</f>
        <v>#DIV/0!</v>
      </c>
      <c r="R403" s="283"/>
      <c r="S403" s="283"/>
      <c r="T403" s="182"/>
      <c r="U403" s="182"/>
      <c r="V403" s="182"/>
      <c r="W403" s="182"/>
      <c r="X403" s="182"/>
      <c r="Y403" s="182"/>
      <c r="Z403" s="182"/>
      <c r="AA403" s="182"/>
      <c r="AB403" s="182"/>
      <c r="AC403" s="182"/>
      <c r="AD403" s="182"/>
      <c r="AE403" s="182"/>
      <c r="AF403" s="182"/>
      <c r="AG403" s="182"/>
      <c r="AH403" s="182"/>
      <c r="AI403" s="182"/>
      <c r="AJ403" s="182"/>
      <c r="AK403" s="182"/>
      <c r="AL403" s="182"/>
      <c r="AM403" s="182"/>
      <c r="AN403" s="182"/>
      <c r="AO403" s="182"/>
      <c r="AP403" s="182"/>
      <c r="AQ403" s="182"/>
      <c r="AR403" s="182"/>
      <c r="AS403" s="182"/>
      <c r="AT403" s="182"/>
      <c r="AU403" s="182"/>
    </row>
    <row r="404" spans="3:47">
      <c r="C404" s="664">
        <v>19</v>
      </c>
      <c r="D404" s="283"/>
      <c r="E404" s="283"/>
      <c r="F404" s="283">
        <f>F380*F372*'Deuda a emitir'!Y$13</f>
        <v>0</v>
      </c>
      <c r="G404" s="283" t="e">
        <f>G380*G372*'Deuda a emitir'!Z$13</f>
        <v>#DIV/0!</v>
      </c>
      <c r="H404" s="283" t="e">
        <f>H380*H372*'Deuda a emitir'!AA$13</f>
        <v>#DIV/0!</v>
      </c>
      <c r="I404" s="283" t="e">
        <f>I380*I372*'Deuda a emitir'!AB$13</f>
        <v>#DIV/0!</v>
      </c>
      <c r="J404" s="283" t="e">
        <f>J380*J372*'Deuda a emitir'!AC$13</f>
        <v>#DIV/0!</v>
      </c>
      <c r="K404" s="283" t="e">
        <f>K380*K372*'Deuda a emitir'!AD$13</f>
        <v>#DIV/0!</v>
      </c>
      <c r="L404" s="283" t="e">
        <f>L380*L372*'Deuda a emitir'!AE$13</f>
        <v>#DIV/0!</v>
      </c>
      <c r="M404" s="283" t="e">
        <f>M380*M372*'Deuda a emitir'!AF$13</f>
        <v>#DIV/0!</v>
      </c>
      <c r="N404" s="283" t="e">
        <f>N380*N372*'Deuda a emitir'!AG$13</f>
        <v>#DIV/0!</v>
      </c>
      <c r="O404" s="283" t="e">
        <f>O380*O372*'Deuda a emitir'!AH$13</f>
        <v>#DIV/0!</v>
      </c>
      <c r="P404" s="283" t="e">
        <f>P380*P372*'Deuda a emitir'!AI$13</f>
        <v>#DIV/0!</v>
      </c>
      <c r="Q404" s="667" t="e">
        <f>Q380*Q372*'Deuda a emitir'!AJ$13</f>
        <v>#DIV/0!</v>
      </c>
      <c r="R404" s="283"/>
      <c r="S404" s="283"/>
      <c r="T404" s="182"/>
      <c r="U404" s="182"/>
      <c r="V404" s="182"/>
      <c r="W404" s="182"/>
      <c r="X404" s="182"/>
      <c r="Y404" s="182"/>
      <c r="Z404" s="182"/>
      <c r="AA404" s="182"/>
      <c r="AB404" s="182"/>
      <c r="AC404" s="182"/>
      <c r="AD404" s="182"/>
      <c r="AE404" s="182"/>
      <c r="AF404" s="182"/>
      <c r="AG404" s="182"/>
      <c r="AH404" s="182"/>
      <c r="AI404" s="182"/>
      <c r="AJ404" s="182"/>
      <c r="AK404" s="182"/>
      <c r="AL404" s="182"/>
      <c r="AM404" s="182"/>
      <c r="AN404" s="182"/>
      <c r="AO404" s="182"/>
      <c r="AP404" s="182"/>
      <c r="AQ404" s="182"/>
      <c r="AR404" s="182"/>
      <c r="AS404" s="182"/>
      <c r="AT404" s="182"/>
      <c r="AU404" s="182"/>
    </row>
    <row r="405" spans="3:47">
      <c r="C405" s="664">
        <v>20</v>
      </c>
      <c r="D405" s="283"/>
      <c r="E405" s="283"/>
      <c r="F405" s="283">
        <f>F380*F372*'Deuda a emitir'!Z$13</f>
        <v>0</v>
      </c>
      <c r="G405" s="283" t="e">
        <f>G380*G372*'Deuda a emitir'!AA$13</f>
        <v>#DIV/0!</v>
      </c>
      <c r="H405" s="283" t="e">
        <f>H380*H372*'Deuda a emitir'!AB$13</f>
        <v>#DIV/0!</v>
      </c>
      <c r="I405" s="283" t="e">
        <f>I380*I372*'Deuda a emitir'!AC$13</f>
        <v>#DIV/0!</v>
      </c>
      <c r="J405" s="283" t="e">
        <f>J380*J372*'Deuda a emitir'!AD$13</f>
        <v>#DIV/0!</v>
      </c>
      <c r="K405" s="283" t="e">
        <f>K380*K372*'Deuda a emitir'!AE$13</f>
        <v>#DIV/0!</v>
      </c>
      <c r="L405" s="283" t="e">
        <f>L380*L372*'Deuda a emitir'!AF$13</f>
        <v>#DIV/0!</v>
      </c>
      <c r="M405" s="283" t="e">
        <f>M380*M372*'Deuda a emitir'!AG$13</f>
        <v>#DIV/0!</v>
      </c>
      <c r="N405" s="283" t="e">
        <f>N380*N372*'Deuda a emitir'!AH$13</f>
        <v>#DIV/0!</v>
      </c>
      <c r="O405" s="283" t="e">
        <f>O380*O372*'Deuda a emitir'!AI$13</f>
        <v>#DIV/0!</v>
      </c>
      <c r="P405" s="283" t="e">
        <f>P380*P372*'Deuda a emitir'!AJ$13</f>
        <v>#DIV/0!</v>
      </c>
      <c r="Q405" s="667" t="e">
        <f>Q380*Q372*'Deuda a emitir'!AK$13</f>
        <v>#DIV/0!</v>
      </c>
      <c r="R405" s="283"/>
      <c r="S405" s="283"/>
      <c r="T405" s="182"/>
      <c r="U405" s="182"/>
      <c r="V405" s="182"/>
      <c r="W405" s="182"/>
      <c r="X405" s="182"/>
      <c r="Y405" s="182"/>
      <c r="Z405" s="182"/>
      <c r="AA405" s="182"/>
      <c r="AB405" s="182"/>
      <c r="AC405" s="182"/>
      <c r="AD405" s="182"/>
      <c r="AE405" s="182"/>
      <c r="AF405" s="182"/>
      <c r="AG405" s="182"/>
      <c r="AH405" s="182"/>
      <c r="AI405" s="182"/>
      <c r="AJ405" s="182"/>
      <c r="AK405" s="182"/>
      <c r="AL405" s="182"/>
      <c r="AM405" s="182"/>
      <c r="AN405" s="182"/>
      <c r="AO405" s="182"/>
      <c r="AP405" s="182"/>
      <c r="AQ405" s="182"/>
      <c r="AR405" s="182"/>
      <c r="AS405" s="182"/>
      <c r="AT405" s="182"/>
      <c r="AU405" s="182"/>
    </row>
    <row r="406" spans="3:47">
      <c r="C406" s="664"/>
      <c r="D406" s="182"/>
      <c r="E406" s="182"/>
      <c r="F406" s="182"/>
      <c r="G406" s="182"/>
      <c r="H406" s="182"/>
      <c r="I406" s="182"/>
      <c r="J406" s="182"/>
      <c r="K406" s="182"/>
      <c r="L406" s="182"/>
      <c r="M406" s="182"/>
      <c r="N406" s="182"/>
      <c r="O406" s="182"/>
      <c r="P406" s="182"/>
      <c r="Q406" s="678"/>
      <c r="R406" s="283"/>
      <c r="S406" s="283"/>
      <c r="T406" s="182"/>
      <c r="U406" s="182"/>
      <c r="V406" s="182"/>
      <c r="W406" s="182"/>
      <c r="X406" s="182"/>
      <c r="Y406" s="182"/>
      <c r="Z406" s="182"/>
      <c r="AA406" s="182"/>
      <c r="AB406" s="182"/>
      <c r="AC406" s="182"/>
      <c r="AD406" s="182"/>
      <c r="AE406" s="182"/>
      <c r="AF406" s="182"/>
      <c r="AG406" s="182"/>
      <c r="AH406" s="182"/>
      <c r="AI406" s="182"/>
      <c r="AJ406" s="182"/>
      <c r="AK406" s="182"/>
      <c r="AL406" s="182"/>
      <c r="AM406" s="182"/>
      <c r="AN406" s="182"/>
      <c r="AO406" s="182"/>
      <c r="AP406" s="182"/>
      <c r="AQ406" s="182"/>
      <c r="AR406" s="182"/>
      <c r="AS406" s="182"/>
      <c r="AT406" s="182"/>
      <c r="AU406" s="182"/>
    </row>
    <row r="407" spans="3:47" ht="16">
      <c r="C407" s="664" t="s">
        <v>173</v>
      </c>
      <c r="D407" s="283"/>
      <c r="E407" s="283"/>
      <c r="F407" s="283">
        <f>E386+D387</f>
        <v>0</v>
      </c>
      <c r="G407" s="283">
        <f>F386+E387+D388</f>
        <v>0</v>
      </c>
      <c r="H407" s="283" t="e">
        <f>G386+F387+E388+D389</f>
        <v>#DIV/0!</v>
      </c>
      <c r="I407" s="283" t="e">
        <f>H386+G387+F388+E389+D390</f>
        <v>#DIV/0!</v>
      </c>
      <c r="J407" s="283" t="e">
        <f>I386+H387+G388+F389+E390+D391</f>
        <v>#DIV/0!</v>
      </c>
      <c r="K407" s="283" t="e">
        <f>J386+I387+H388+G389+F390+E391+D392</f>
        <v>#DIV/0!</v>
      </c>
      <c r="L407" s="283" t="e">
        <f>K386+J387+I388+H389+G390+F391+E392+D393</f>
        <v>#DIV/0!</v>
      </c>
      <c r="M407" s="283" t="e">
        <f>L386+K387+J388+I389+H390+G391+F392+E393+D394</f>
        <v>#DIV/0!</v>
      </c>
      <c r="N407" s="283" t="e">
        <f>M386+L387+K388+J389+I390+H391+G392+F393+E394+D395</f>
        <v>#DIV/0!</v>
      </c>
      <c r="O407" s="283" t="e">
        <f>N386+M387+L388+K389+J390+I391+H392+G393+F394+E395+D396</f>
        <v>#DIV/0!</v>
      </c>
      <c r="P407" s="283" t="e">
        <f>O386+N387+M388+L389+K390+J391+I392+H393+G394+F395+E396</f>
        <v>#DIV/0!</v>
      </c>
      <c r="Q407" s="667" t="e">
        <f>P386+O387+N388+M389+L390+K391+J392+I393+H394+G395+F396</f>
        <v>#DIV/0!</v>
      </c>
      <c r="R407" s="283"/>
      <c r="S407" s="283"/>
      <c r="T407" s="182"/>
      <c r="U407" s="182"/>
      <c r="V407" s="182"/>
      <c r="W407" s="182"/>
      <c r="X407" s="182"/>
      <c r="Y407" s="182"/>
      <c r="Z407" s="182"/>
      <c r="AA407" s="182"/>
      <c r="AB407" s="182"/>
      <c r="AC407" s="182"/>
      <c r="AD407" s="182"/>
      <c r="AE407" s="182"/>
      <c r="AF407" s="182"/>
      <c r="AG407" s="182"/>
      <c r="AH407" s="182"/>
      <c r="AI407" s="182"/>
      <c r="AJ407" s="182"/>
      <c r="AK407" s="182"/>
      <c r="AL407" s="182"/>
      <c r="AM407" s="182"/>
      <c r="AN407" s="182"/>
      <c r="AO407" s="182"/>
      <c r="AP407" s="182"/>
      <c r="AQ407" s="182"/>
      <c r="AR407" s="182"/>
      <c r="AS407" s="182"/>
      <c r="AT407" s="182"/>
      <c r="AU407" s="182"/>
    </row>
    <row r="408" spans="3:47" ht="16">
      <c r="C408" s="664" t="s">
        <v>174</v>
      </c>
      <c r="D408" s="283"/>
      <c r="E408" s="283"/>
      <c r="F408" s="283">
        <f t="shared" ref="F408:Q408" si="163">F385</f>
        <v>0</v>
      </c>
      <c r="G408" s="283">
        <f t="shared" si="163"/>
        <v>0</v>
      </c>
      <c r="H408" s="283">
        <f t="shared" si="163"/>
        <v>0</v>
      </c>
      <c r="I408" s="283">
        <f t="shared" si="163"/>
        <v>0</v>
      </c>
      <c r="J408" s="283">
        <f t="shared" si="163"/>
        <v>0</v>
      </c>
      <c r="K408" s="283">
        <f t="shared" si="163"/>
        <v>0</v>
      </c>
      <c r="L408" s="283">
        <f t="shared" si="163"/>
        <v>0</v>
      </c>
      <c r="M408" s="283">
        <f t="shared" si="163"/>
        <v>0</v>
      </c>
      <c r="N408" s="283">
        <f t="shared" si="163"/>
        <v>0</v>
      </c>
      <c r="O408" s="283">
        <f t="shared" si="163"/>
        <v>0</v>
      </c>
      <c r="P408" s="283">
        <f t="shared" si="163"/>
        <v>0</v>
      </c>
      <c r="Q408" s="667">
        <f t="shared" si="163"/>
        <v>0</v>
      </c>
      <c r="R408" s="283"/>
      <c r="S408" s="283"/>
      <c r="T408" s="182"/>
      <c r="U408" s="182"/>
      <c r="V408" s="182"/>
      <c r="W408" s="182"/>
      <c r="X408" s="182"/>
      <c r="Y408" s="182"/>
      <c r="Z408" s="182"/>
      <c r="AA408" s="182"/>
      <c r="AB408" s="182"/>
      <c r="AC408" s="182"/>
      <c r="AD408" s="182"/>
      <c r="AE408" s="182"/>
      <c r="AF408" s="182"/>
      <c r="AG408" s="182"/>
      <c r="AH408" s="182"/>
      <c r="AI408" s="182"/>
      <c r="AJ408" s="182"/>
      <c r="AK408" s="182"/>
      <c r="AL408" s="182"/>
      <c r="AM408" s="182"/>
      <c r="AN408" s="182"/>
      <c r="AO408" s="182"/>
      <c r="AP408" s="182"/>
      <c r="AQ408" s="182"/>
      <c r="AR408" s="182"/>
      <c r="AS408" s="182"/>
      <c r="AT408" s="182"/>
      <c r="AU408" s="182"/>
    </row>
    <row r="409" spans="3:47">
      <c r="C409" s="664"/>
      <c r="D409" s="283"/>
      <c r="E409" s="283"/>
      <c r="F409" s="283"/>
      <c r="G409" s="283"/>
      <c r="H409" s="283"/>
      <c r="I409" s="283"/>
      <c r="J409" s="283"/>
      <c r="K409" s="283"/>
      <c r="L409" s="283"/>
      <c r="M409" s="283"/>
      <c r="N409" s="283"/>
      <c r="O409" s="283"/>
      <c r="P409" s="283"/>
      <c r="Q409" s="667"/>
      <c r="R409" s="283"/>
      <c r="S409" s="283"/>
      <c r="T409" s="182"/>
      <c r="U409" s="182"/>
      <c r="V409" s="182"/>
      <c r="W409" s="182"/>
      <c r="X409" s="182"/>
      <c r="Y409" s="182"/>
      <c r="Z409" s="182"/>
      <c r="AA409" s="182"/>
      <c r="AB409" s="182"/>
      <c r="AC409" s="182"/>
      <c r="AD409" s="182"/>
      <c r="AE409" s="182"/>
      <c r="AF409" s="182"/>
      <c r="AG409" s="182"/>
      <c r="AH409" s="182"/>
      <c r="AI409" s="182"/>
      <c r="AJ409" s="182"/>
      <c r="AK409" s="182"/>
      <c r="AL409" s="182"/>
      <c r="AM409" s="182"/>
      <c r="AN409" s="182"/>
      <c r="AO409" s="182"/>
      <c r="AP409" s="182"/>
      <c r="AQ409" s="182"/>
      <c r="AR409" s="182"/>
      <c r="AS409" s="182"/>
      <c r="AT409" s="182"/>
      <c r="AU409" s="182"/>
    </row>
    <row r="410" spans="3:47">
      <c r="C410" s="664"/>
      <c r="D410" s="283"/>
      <c r="E410" s="291"/>
      <c r="F410" s="291"/>
      <c r="G410" s="291"/>
      <c r="H410" s="291"/>
      <c r="I410" s="291"/>
      <c r="J410" s="291"/>
      <c r="K410" s="291"/>
      <c r="L410" s="291"/>
      <c r="M410" s="291"/>
      <c r="N410" s="291"/>
      <c r="O410" s="291"/>
      <c r="P410" s="291"/>
      <c r="Q410" s="666"/>
      <c r="R410" s="283"/>
      <c r="S410" s="283"/>
      <c r="T410" s="182"/>
      <c r="U410" s="182"/>
      <c r="V410" s="182"/>
      <c r="W410" s="182"/>
      <c r="X410" s="182"/>
      <c r="Y410" s="182"/>
      <c r="Z410" s="182"/>
      <c r="AA410" s="182"/>
      <c r="AB410" s="182"/>
      <c r="AC410" s="182"/>
      <c r="AD410" s="182"/>
      <c r="AE410" s="182"/>
      <c r="AF410" s="182"/>
      <c r="AG410" s="182"/>
      <c r="AH410" s="182"/>
      <c r="AI410" s="182"/>
      <c r="AJ410" s="182"/>
      <c r="AK410" s="182"/>
      <c r="AL410" s="182"/>
      <c r="AM410" s="182"/>
      <c r="AN410" s="182"/>
      <c r="AO410" s="182"/>
      <c r="AP410" s="182"/>
      <c r="AQ410" s="182"/>
      <c r="AR410" s="182"/>
      <c r="AS410" s="182"/>
      <c r="AT410" s="182"/>
      <c r="AU410" s="182"/>
    </row>
    <row r="411" spans="3:47">
      <c r="C411" s="679">
        <v>30</v>
      </c>
      <c r="D411" s="322"/>
      <c r="E411" s="322">
        <v>2023</v>
      </c>
      <c r="F411" s="322">
        <v>2024</v>
      </c>
      <c r="G411" s="322">
        <v>2025</v>
      </c>
      <c r="H411" s="322">
        <v>2026</v>
      </c>
      <c r="I411" s="322">
        <v>2027</v>
      </c>
      <c r="J411" s="322">
        <v>2028</v>
      </c>
      <c r="K411" s="322">
        <v>2029</v>
      </c>
      <c r="L411" s="322">
        <v>2030</v>
      </c>
      <c r="M411" s="322">
        <v>2031</v>
      </c>
      <c r="N411" s="322">
        <v>2032</v>
      </c>
      <c r="O411" s="322">
        <v>2033</v>
      </c>
      <c r="P411" s="322">
        <v>2034</v>
      </c>
      <c r="Q411" s="680">
        <v>2035</v>
      </c>
      <c r="R411" s="283"/>
      <c r="S411" s="283"/>
      <c r="T411" s="182"/>
      <c r="U411" s="182"/>
      <c r="V411" s="182"/>
      <c r="W411" s="182"/>
      <c r="X411" s="182"/>
      <c r="Y411" s="182"/>
      <c r="Z411" s="182"/>
      <c r="AA411" s="182"/>
      <c r="AB411" s="182"/>
      <c r="AC411" s="182"/>
      <c r="AD411" s="182"/>
      <c r="AE411" s="182"/>
      <c r="AF411" s="182"/>
      <c r="AG411" s="182"/>
      <c r="AH411" s="182"/>
      <c r="AI411" s="182"/>
      <c r="AJ411" s="182"/>
      <c r="AK411" s="182"/>
      <c r="AL411" s="182"/>
      <c r="AM411" s="182"/>
      <c r="AN411" s="182"/>
      <c r="AO411" s="182"/>
      <c r="AP411" s="182"/>
      <c r="AQ411" s="182"/>
      <c r="AR411" s="182"/>
      <c r="AS411" s="182"/>
      <c r="AT411" s="182"/>
      <c r="AU411" s="182"/>
    </row>
    <row r="412" spans="3:47" ht="16">
      <c r="C412" s="664" t="s">
        <v>177</v>
      </c>
      <c r="D412" s="291"/>
      <c r="E412" s="291"/>
      <c r="F412" s="291">
        <f>'Deuda a emitir'!F63</f>
        <v>0</v>
      </c>
      <c r="G412" s="291">
        <f>'Deuda a emitir'!G63</f>
        <v>0</v>
      </c>
      <c r="H412" s="291">
        <f>'Deuda a emitir'!H63</f>
        <v>0</v>
      </c>
      <c r="I412" s="291">
        <f>'Deuda a emitir'!I63</f>
        <v>0</v>
      </c>
      <c r="J412" s="291">
        <f>'Deuda a emitir'!J63</f>
        <v>0</v>
      </c>
      <c r="K412" s="291">
        <f>'Deuda a emitir'!K63</f>
        <v>0</v>
      </c>
      <c r="L412" s="291">
        <f>'Deuda a emitir'!L63</f>
        <v>0</v>
      </c>
      <c r="M412" s="291">
        <f>'Deuda a emitir'!M63</f>
        <v>0</v>
      </c>
      <c r="N412" s="291">
        <f>'Deuda a emitir'!N63</f>
        <v>0</v>
      </c>
      <c r="O412" s="291">
        <f>'Deuda a emitir'!O63</f>
        <v>0</v>
      </c>
      <c r="P412" s="291">
        <f>'Deuda a emitir'!P63</f>
        <v>0</v>
      </c>
      <c r="Q412" s="666">
        <f>'Deuda a emitir'!Q63</f>
        <v>0</v>
      </c>
      <c r="R412" s="283"/>
      <c r="S412" s="283"/>
      <c r="T412" s="182"/>
      <c r="U412" s="182"/>
      <c r="V412" s="182"/>
      <c r="W412" s="182"/>
      <c r="X412" s="182"/>
      <c r="Y412" s="182"/>
      <c r="Z412" s="182"/>
      <c r="AA412" s="182"/>
      <c r="AB412" s="182"/>
      <c r="AC412" s="182"/>
      <c r="AD412" s="182"/>
      <c r="AE412" s="182"/>
      <c r="AF412" s="182"/>
      <c r="AG412" s="182"/>
      <c r="AH412" s="182"/>
      <c r="AI412" s="182"/>
      <c r="AJ412" s="182"/>
      <c r="AK412" s="182"/>
      <c r="AL412" s="182"/>
      <c r="AM412" s="182"/>
      <c r="AN412" s="182"/>
      <c r="AO412" s="182"/>
      <c r="AP412" s="182"/>
      <c r="AQ412" s="182"/>
      <c r="AR412" s="182"/>
      <c r="AS412" s="182"/>
      <c r="AT412" s="182"/>
      <c r="AU412" s="182"/>
    </row>
    <row r="413" spans="3:47" ht="16">
      <c r="C413" s="664" t="s">
        <v>178</v>
      </c>
      <c r="D413" s="291"/>
      <c r="E413" s="291"/>
      <c r="F413" s="291">
        <f>'Deuda a emitir'!F64</f>
        <v>0</v>
      </c>
      <c r="G413" s="291">
        <f>'Deuda a emitir'!G64</f>
        <v>0</v>
      </c>
      <c r="H413" s="291">
        <f>'Deuda a emitir'!H64</f>
        <v>0</v>
      </c>
      <c r="I413" s="291">
        <f>'Deuda a emitir'!I64</f>
        <v>0</v>
      </c>
      <c r="J413" s="291">
        <f>'Deuda a emitir'!J64</f>
        <v>0</v>
      </c>
      <c r="K413" s="291">
        <f>'Deuda a emitir'!K64</f>
        <v>0</v>
      </c>
      <c r="L413" s="291">
        <f>'Deuda a emitir'!L64</f>
        <v>0</v>
      </c>
      <c r="M413" s="291">
        <f>'Deuda a emitir'!M64</f>
        <v>0</v>
      </c>
      <c r="N413" s="291">
        <f>'Deuda a emitir'!N64</f>
        <v>0</v>
      </c>
      <c r="O413" s="291">
        <f>'Deuda a emitir'!O64</f>
        <v>0</v>
      </c>
      <c r="P413" s="291">
        <f>'Deuda a emitir'!P64</f>
        <v>0</v>
      </c>
      <c r="Q413" s="666">
        <f>'Deuda a emitir'!Q64</f>
        <v>0</v>
      </c>
      <c r="R413" s="283"/>
      <c r="S413" s="283"/>
      <c r="T413" s="182"/>
      <c r="U413" s="182"/>
      <c r="V413" s="182"/>
      <c r="W413" s="182"/>
      <c r="X413" s="182"/>
      <c r="Y413" s="182"/>
      <c r="Z413" s="182"/>
      <c r="AA413" s="182"/>
      <c r="AB413" s="182"/>
      <c r="AC413" s="182"/>
      <c r="AD413" s="182"/>
      <c r="AE413" s="182"/>
      <c r="AF413" s="182"/>
      <c r="AG413" s="182"/>
      <c r="AH413" s="182"/>
      <c r="AI413" s="182"/>
      <c r="AJ413" s="182"/>
      <c r="AK413" s="182"/>
      <c r="AL413" s="182"/>
      <c r="AM413" s="182"/>
      <c r="AN413" s="182"/>
      <c r="AO413" s="182"/>
      <c r="AP413" s="182"/>
      <c r="AQ413" s="182"/>
      <c r="AR413" s="182"/>
      <c r="AS413" s="182"/>
      <c r="AT413" s="182"/>
      <c r="AU413" s="182"/>
    </row>
    <row r="414" spans="3:47" ht="16">
      <c r="C414" s="664" t="s">
        <v>179</v>
      </c>
      <c r="D414" s="326"/>
      <c r="E414" s="326"/>
      <c r="F414" s="326">
        <f>'Deuda a emitir'!F65</f>
        <v>30</v>
      </c>
      <c r="G414" s="326">
        <f>'Deuda a emitir'!G65</f>
        <v>30</v>
      </c>
      <c r="H414" s="326">
        <f>'Deuda a emitir'!H65</f>
        <v>30</v>
      </c>
      <c r="I414" s="326">
        <f>'Deuda a emitir'!I65</f>
        <v>30</v>
      </c>
      <c r="J414" s="326">
        <f>'Deuda a emitir'!J65</f>
        <v>30</v>
      </c>
      <c r="K414" s="326">
        <f>'Deuda a emitir'!K65</f>
        <v>30</v>
      </c>
      <c r="L414" s="326">
        <f>'Deuda a emitir'!L65</f>
        <v>30</v>
      </c>
      <c r="M414" s="326">
        <f>'Deuda a emitir'!M65</f>
        <v>30</v>
      </c>
      <c r="N414" s="326">
        <f>'Deuda a emitir'!N65</f>
        <v>30</v>
      </c>
      <c r="O414" s="326">
        <f>'Deuda a emitir'!O65</f>
        <v>30</v>
      </c>
      <c r="P414" s="326">
        <f>'Deuda a emitir'!P65</f>
        <v>30</v>
      </c>
      <c r="Q414" s="684">
        <f>'Deuda a emitir'!Q65</f>
        <v>30</v>
      </c>
      <c r="R414" s="283"/>
      <c r="S414" s="283"/>
      <c r="T414" s="182"/>
      <c r="U414" s="182"/>
      <c r="V414" s="182"/>
      <c r="W414" s="182"/>
      <c r="X414" s="182"/>
      <c r="Y414" s="182"/>
      <c r="Z414" s="182"/>
      <c r="AA414" s="182"/>
      <c r="AB414" s="182"/>
      <c r="AC414" s="182"/>
      <c r="AD414" s="182"/>
      <c r="AE414" s="182"/>
      <c r="AF414" s="182"/>
      <c r="AG414" s="182"/>
      <c r="AH414" s="182"/>
      <c r="AI414" s="182"/>
      <c r="AJ414" s="182"/>
      <c r="AK414" s="182"/>
      <c r="AL414" s="182"/>
      <c r="AM414" s="182"/>
      <c r="AN414" s="182"/>
      <c r="AO414" s="182"/>
      <c r="AP414" s="182"/>
      <c r="AQ414" s="182"/>
      <c r="AR414" s="182"/>
      <c r="AS414" s="182"/>
      <c r="AT414" s="182"/>
      <c r="AU414" s="182"/>
    </row>
    <row r="415" spans="3:47" ht="16">
      <c r="C415" s="664" t="s">
        <v>72</v>
      </c>
      <c r="D415" s="328"/>
      <c r="E415" s="328"/>
      <c r="F415" s="328">
        <f t="shared" ref="F415:Q415" si="164">F411+F414</f>
        <v>2054</v>
      </c>
      <c r="G415" s="328">
        <f t="shared" si="164"/>
        <v>2055</v>
      </c>
      <c r="H415" s="328">
        <f t="shared" si="164"/>
        <v>2056</v>
      </c>
      <c r="I415" s="328">
        <f t="shared" si="164"/>
        <v>2057</v>
      </c>
      <c r="J415" s="328">
        <f t="shared" si="164"/>
        <v>2058</v>
      </c>
      <c r="K415" s="328">
        <f t="shared" si="164"/>
        <v>2059</v>
      </c>
      <c r="L415" s="328">
        <f t="shared" si="164"/>
        <v>2060</v>
      </c>
      <c r="M415" s="328">
        <f t="shared" si="164"/>
        <v>2061</v>
      </c>
      <c r="N415" s="328">
        <f t="shared" si="164"/>
        <v>2062</v>
      </c>
      <c r="O415" s="328">
        <f t="shared" si="164"/>
        <v>2063</v>
      </c>
      <c r="P415" s="328">
        <f t="shared" si="164"/>
        <v>2064</v>
      </c>
      <c r="Q415" s="681">
        <f t="shared" si="164"/>
        <v>2065</v>
      </c>
      <c r="R415" s="327"/>
      <c r="S415" s="327"/>
      <c r="T415" s="182"/>
      <c r="U415" s="182"/>
      <c r="V415" s="182"/>
      <c r="W415" s="182"/>
      <c r="X415" s="182"/>
      <c r="Y415" s="182"/>
      <c r="Z415" s="182"/>
      <c r="AA415" s="182"/>
      <c r="AB415" s="182"/>
      <c r="AC415" s="182"/>
      <c r="AD415" s="182"/>
      <c r="AE415" s="182"/>
      <c r="AF415" s="182"/>
      <c r="AG415" s="182"/>
      <c r="AH415" s="182"/>
      <c r="AI415" s="182"/>
      <c r="AJ415" s="182"/>
      <c r="AK415" s="182"/>
      <c r="AL415" s="182"/>
      <c r="AM415" s="182"/>
      <c r="AN415" s="182"/>
      <c r="AO415" s="182"/>
      <c r="AP415" s="182"/>
      <c r="AQ415" s="182"/>
      <c r="AR415" s="182"/>
      <c r="AS415" s="182"/>
      <c r="AT415" s="182"/>
      <c r="AU415" s="182"/>
    </row>
    <row r="416" spans="3:47" ht="16">
      <c r="C416" s="664" t="s">
        <v>180</v>
      </c>
      <c r="D416" s="291"/>
      <c r="E416" s="291"/>
      <c r="F416" s="291">
        <f>'Deuda a emitir'!F49</f>
        <v>0</v>
      </c>
      <c r="G416" s="291">
        <f>'Deuda a emitir'!G49</f>
        <v>0</v>
      </c>
      <c r="H416" s="291">
        <f>'Deuda a emitir'!H49</f>
        <v>0</v>
      </c>
      <c r="I416" s="291">
        <f>'Deuda a emitir'!I49</f>
        <v>0</v>
      </c>
      <c r="J416" s="291">
        <f>'Deuda a emitir'!J49</f>
        <v>0</v>
      </c>
      <c r="K416" s="291">
        <f>'Deuda a emitir'!K49</f>
        <v>0</v>
      </c>
      <c r="L416" s="291">
        <f>'Deuda a emitir'!L49</f>
        <v>0</v>
      </c>
      <c r="M416" s="291">
        <f>'Deuda a emitir'!M49</f>
        <v>0</v>
      </c>
      <c r="N416" s="291">
        <f>'Deuda a emitir'!N49</f>
        <v>0</v>
      </c>
      <c r="O416" s="291">
        <f>'Deuda a emitir'!O49</f>
        <v>0</v>
      </c>
      <c r="P416" s="291">
        <f>'Deuda a emitir'!P49</f>
        <v>0</v>
      </c>
      <c r="Q416" s="666">
        <f>'Deuda a emitir'!Q49</f>
        <v>0</v>
      </c>
      <c r="R416" s="283"/>
      <c r="S416" s="283"/>
      <c r="T416" s="182"/>
      <c r="U416" s="182"/>
      <c r="V416" s="182"/>
      <c r="W416" s="182"/>
      <c r="X416" s="182"/>
      <c r="Y416" s="182"/>
      <c r="Z416" s="182"/>
      <c r="AA416" s="182"/>
      <c r="AB416" s="182"/>
      <c r="AC416" s="182"/>
      <c r="AD416" s="182"/>
      <c r="AE416" s="182"/>
      <c r="AF416" s="182"/>
      <c r="AG416" s="182"/>
      <c r="AH416" s="182"/>
      <c r="AI416" s="182"/>
      <c r="AJ416" s="182"/>
      <c r="AK416" s="182"/>
      <c r="AL416" s="182"/>
      <c r="AM416" s="182"/>
      <c r="AN416" s="182"/>
      <c r="AO416" s="182"/>
      <c r="AP416" s="182"/>
      <c r="AQ416" s="182"/>
      <c r="AR416" s="182"/>
      <c r="AS416" s="182"/>
      <c r="AT416" s="182"/>
      <c r="AU416" s="182"/>
    </row>
    <row r="417" spans="3:47" ht="32">
      <c r="C417" s="664" t="s">
        <v>187</v>
      </c>
      <c r="D417" s="283"/>
      <c r="E417" s="283"/>
      <c r="F417" s="283">
        <f t="shared" ref="F417:Q417" si="165">F$304*F416</f>
        <v>0</v>
      </c>
      <c r="G417" s="283" t="e">
        <f t="shared" si="165"/>
        <v>#DIV/0!</v>
      </c>
      <c r="H417" s="283" t="e">
        <f t="shared" si="165"/>
        <v>#DIV/0!</v>
      </c>
      <c r="I417" s="283" t="e">
        <f t="shared" si="165"/>
        <v>#DIV/0!</v>
      </c>
      <c r="J417" s="283" t="e">
        <f t="shared" si="165"/>
        <v>#DIV/0!</v>
      </c>
      <c r="K417" s="283" t="e">
        <f t="shared" si="165"/>
        <v>#DIV/0!</v>
      </c>
      <c r="L417" s="283" t="e">
        <f t="shared" si="165"/>
        <v>#DIV/0!</v>
      </c>
      <c r="M417" s="283" t="e">
        <f t="shared" si="165"/>
        <v>#DIV/0!</v>
      </c>
      <c r="N417" s="283" t="e">
        <f t="shared" si="165"/>
        <v>#DIV/0!</v>
      </c>
      <c r="O417" s="283" t="e">
        <f t="shared" si="165"/>
        <v>#DIV/0!</v>
      </c>
      <c r="P417" s="283" t="e">
        <f t="shared" si="165"/>
        <v>#DIV/0!</v>
      </c>
      <c r="Q417" s="667" t="e">
        <f t="shared" si="165"/>
        <v>#DIV/0!</v>
      </c>
      <c r="R417" s="283"/>
      <c r="S417" s="283"/>
      <c r="T417" s="182"/>
      <c r="U417" s="182"/>
      <c r="V417" s="182"/>
      <c r="W417" s="182"/>
      <c r="X417" s="182"/>
      <c r="Y417" s="182"/>
      <c r="Z417" s="182"/>
      <c r="AA417" s="182"/>
      <c r="AB417" s="182"/>
      <c r="AC417" s="182"/>
      <c r="AD417" s="182"/>
      <c r="AE417" s="182"/>
      <c r="AF417" s="182"/>
      <c r="AG417" s="182"/>
      <c r="AH417" s="182"/>
      <c r="AI417" s="182"/>
      <c r="AJ417" s="182"/>
      <c r="AK417" s="182"/>
      <c r="AL417" s="182"/>
      <c r="AM417" s="182"/>
      <c r="AN417" s="182"/>
      <c r="AO417" s="182"/>
      <c r="AP417" s="182"/>
      <c r="AQ417" s="182"/>
      <c r="AR417" s="182"/>
      <c r="AS417" s="182"/>
      <c r="AT417" s="182"/>
      <c r="AU417" s="182"/>
    </row>
    <row r="418" spans="3:47" ht="32">
      <c r="C418" s="664" t="s">
        <v>171</v>
      </c>
      <c r="D418" s="283"/>
      <c r="E418" s="283"/>
      <c r="F418" s="283">
        <f t="shared" ref="F418:Q418" si="166">F$305*F416</f>
        <v>0</v>
      </c>
      <c r="G418" s="283">
        <f t="shared" si="166"/>
        <v>0</v>
      </c>
      <c r="H418" s="283">
        <f t="shared" si="166"/>
        <v>0</v>
      </c>
      <c r="I418" s="283">
        <f t="shared" si="166"/>
        <v>0</v>
      </c>
      <c r="J418" s="283">
        <f t="shared" si="166"/>
        <v>0</v>
      </c>
      <c r="K418" s="283">
        <f t="shared" si="166"/>
        <v>0</v>
      </c>
      <c r="L418" s="283">
        <f t="shared" si="166"/>
        <v>0</v>
      </c>
      <c r="M418" s="283">
        <f t="shared" si="166"/>
        <v>0</v>
      </c>
      <c r="N418" s="283">
        <f t="shared" si="166"/>
        <v>0</v>
      </c>
      <c r="O418" s="283">
        <f t="shared" si="166"/>
        <v>0</v>
      </c>
      <c r="P418" s="283">
        <f t="shared" si="166"/>
        <v>0</v>
      </c>
      <c r="Q418" s="667">
        <f t="shared" si="166"/>
        <v>0</v>
      </c>
      <c r="R418" s="283"/>
      <c r="S418" s="283"/>
      <c r="T418" s="182"/>
      <c r="U418" s="182"/>
      <c r="V418" s="182"/>
      <c r="W418" s="182"/>
      <c r="X418" s="182"/>
      <c r="Y418" s="182"/>
      <c r="Z418" s="182"/>
      <c r="AA418" s="182"/>
      <c r="AB418" s="182"/>
      <c r="AC418" s="182"/>
      <c r="AD418" s="182"/>
      <c r="AE418" s="182"/>
      <c r="AF418" s="182"/>
      <c r="AG418" s="182"/>
      <c r="AH418" s="182"/>
      <c r="AI418" s="182"/>
      <c r="AJ418" s="182"/>
      <c r="AK418" s="182"/>
      <c r="AL418" s="182"/>
      <c r="AM418" s="182"/>
      <c r="AN418" s="182"/>
      <c r="AO418" s="182"/>
      <c r="AP418" s="182"/>
      <c r="AQ418" s="182"/>
      <c r="AR418" s="182"/>
      <c r="AS418" s="182"/>
      <c r="AT418" s="182"/>
      <c r="AU418" s="182"/>
    </row>
    <row r="419" spans="3:47" ht="16">
      <c r="C419" s="668" t="s">
        <v>200</v>
      </c>
      <c r="D419" s="37"/>
      <c r="E419" s="37"/>
      <c r="F419" s="37">
        <f t="shared" ref="F419:P419" si="167">SUM(F417:F418)</f>
        <v>0</v>
      </c>
      <c r="G419" s="37" t="e">
        <f t="shared" si="167"/>
        <v>#DIV/0!</v>
      </c>
      <c r="H419" s="37" t="e">
        <f t="shared" si="167"/>
        <v>#DIV/0!</v>
      </c>
      <c r="I419" s="37" t="e">
        <f t="shared" si="167"/>
        <v>#DIV/0!</v>
      </c>
      <c r="J419" s="37" t="e">
        <f t="shared" si="167"/>
        <v>#DIV/0!</v>
      </c>
      <c r="K419" s="37" t="e">
        <f t="shared" si="167"/>
        <v>#DIV/0!</v>
      </c>
      <c r="L419" s="37" t="e">
        <f t="shared" si="167"/>
        <v>#DIV/0!</v>
      </c>
      <c r="M419" s="37" t="e">
        <f t="shared" si="167"/>
        <v>#DIV/0!</v>
      </c>
      <c r="N419" s="37" t="e">
        <f t="shared" si="167"/>
        <v>#DIV/0!</v>
      </c>
      <c r="O419" s="37" t="e">
        <f t="shared" si="167"/>
        <v>#DIV/0!</v>
      </c>
      <c r="P419" s="37" t="e">
        <f t="shared" si="167"/>
        <v>#DIV/0!</v>
      </c>
      <c r="Q419" s="669" t="e">
        <f t="shared" ref="Q419" si="168">SUM(Q417:Q418)</f>
        <v>#DIV/0!</v>
      </c>
      <c r="R419" s="37"/>
      <c r="S419" s="37"/>
      <c r="T419" s="244"/>
      <c r="U419" s="244"/>
      <c r="V419" s="244"/>
      <c r="W419" s="244"/>
      <c r="X419" s="244"/>
      <c r="Y419" s="244"/>
      <c r="Z419" s="244"/>
      <c r="AA419" s="244"/>
      <c r="AB419" s="244"/>
      <c r="AC419" s="244"/>
      <c r="AD419" s="244"/>
      <c r="AE419" s="244"/>
      <c r="AF419" s="244"/>
      <c r="AG419" s="244"/>
      <c r="AH419" s="244"/>
      <c r="AI419" s="244"/>
      <c r="AJ419" s="244"/>
      <c r="AK419" s="244"/>
      <c r="AL419" s="244"/>
      <c r="AM419" s="244"/>
      <c r="AN419" s="244"/>
      <c r="AO419" s="244"/>
      <c r="AP419" s="244"/>
      <c r="AQ419" s="244"/>
      <c r="AR419" s="244"/>
      <c r="AS419" s="244"/>
      <c r="AT419" s="244"/>
      <c r="AU419" s="244"/>
    </row>
    <row r="420" spans="3:47" ht="16">
      <c r="C420" s="670" t="s">
        <v>198</v>
      </c>
      <c r="D420" s="330"/>
      <c r="E420" s="330"/>
      <c r="F420" s="330">
        <f t="shared" ref="F420:Q420" si="169">(F419/F$302)</f>
        <v>0</v>
      </c>
      <c r="G420" s="330" t="e">
        <f t="shared" si="169"/>
        <v>#DIV/0!</v>
      </c>
      <c r="H420" s="330" t="e">
        <f t="shared" si="169"/>
        <v>#DIV/0!</v>
      </c>
      <c r="I420" s="330" t="e">
        <f t="shared" si="169"/>
        <v>#DIV/0!</v>
      </c>
      <c r="J420" s="330" t="e">
        <f t="shared" si="169"/>
        <v>#DIV/0!</v>
      </c>
      <c r="K420" s="330" t="e">
        <f t="shared" si="169"/>
        <v>#DIV/0!</v>
      </c>
      <c r="L420" s="330" t="e">
        <f t="shared" si="169"/>
        <v>#DIV/0!</v>
      </c>
      <c r="M420" s="330" t="e">
        <f t="shared" si="169"/>
        <v>#DIV/0!</v>
      </c>
      <c r="N420" s="330" t="e">
        <f t="shared" si="169"/>
        <v>#DIV/0!</v>
      </c>
      <c r="O420" s="330" t="e">
        <f t="shared" si="169"/>
        <v>#DIV/0!</v>
      </c>
      <c r="P420" s="330" t="e">
        <f t="shared" si="169"/>
        <v>#DIV/0!</v>
      </c>
      <c r="Q420" s="682" t="e">
        <f t="shared" si="169"/>
        <v>#DIV/0!</v>
      </c>
      <c r="R420" s="330"/>
      <c r="S420" s="330"/>
      <c r="T420" s="331"/>
      <c r="U420" s="331"/>
      <c r="V420" s="331"/>
      <c r="W420" s="331"/>
      <c r="X420" s="331"/>
      <c r="Y420" s="331"/>
      <c r="Z420" s="331"/>
      <c r="AA420" s="331"/>
      <c r="AB420" s="331"/>
      <c r="AC420" s="331"/>
      <c r="AD420" s="331"/>
      <c r="AE420" s="331"/>
      <c r="AF420" s="331"/>
      <c r="AG420" s="331"/>
      <c r="AH420" s="331"/>
      <c r="AI420" s="331"/>
      <c r="AJ420" s="331"/>
      <c r="AK420" s="331"/>
      <c r="AL420" s="331"/>
      <c r="AM420" s="331"/>
      <c r="AN420" s="331"/>
      <c r="AO420" s="331"/>
      <c r="AP420" s="331"/>
      <c r="AQ420" s="331"/>
      <c r="AR420" s="331"/>
      <c r="AS420" s="331"/>
      <c r="AT420" s="331"/>
      <c r="AU420" s="331"/>
    </row>
    <row r="421" spans="3:47" ht="16">
      <c r="C421" s="664" t="s">
        <v>201</v>
      </c>
      <c r="D421" s="283"/>
      <c r="E421" s="283"/>
      <c r="F421" s="283">
        <f>F420*HLOOKUP((F411+F414),$F301:$AU302,2,FALSE)</f>
        <v>0</v>
      </c>
      <c r="G421" s="283" t="e">
        <f t="shared" ref="G421:Q421" si="170">G420*HLOOKUP((G411+G414),$F301:$AU302,2,FALSE)</f>
        <v>#DIV/0!</v>
      </c>
      <c r="H421" s="283" t="e">
        <f t="shared" si="170"/>
        <v>#DIV/0!</v>
      </c>
      <c r="I421" s="283" t="e">
        <f t="shared" si="170"/>
        <v>#DIV/0!</v>
      </c>
      <c r="J421" s="283" t="e">
        <f t="shared" si="170"/>
        <v>#DIV/0!</v>
      </c>
      <c r="K421" s="283" t="e">
        <f t="shared" si="170"/>
        <v>#DIV/0!</v>
      </c>
      <c r="L421" s="283" t="e">
        <f t="shared" si="170"/>
        <v>#DIV/0!</v>
      </c>
      <c r="M421" s="283" t="e">
        <f t="shared" si="170"/>
        <v>#DIV/0!</v>
      </c>
      <c r="N421" s="283" t="e">
        <f t="shared" si="170"/>
        <v>#DIV/0!</v>
      </c>
      <c r="O421" s="283" t="e">
        <f t="shared" si="170"/>
        <v>#DIV/0!</v>
      </c>
      <c r="P421" s="283" t="e">
        <f t="shared" si="170"/>
        <v>#DIV/0!</v>
      </c>
      <c r="Q421" s="667" t="e">
        <f t="shared" si="170"/>
        <v>#DIV/0!</v>
      </c>
      <c r="R421" s="283"/>
      <c r="S421" s="283"/>
      <c r="T421" s="182"/>
      <c r="U421" s="182"/>
      <c r="V421" s="182"/>
      <c r="W421" s="182"/>
      <c r="X421" s="182"/>
      <c r="Y421" s="182"/>
      <c r="Z421" s="182"/>
      <c r="AA421" s="182"/>
      <c r="AB421" s="182"/>
      <c r="AC421" s="182"/>
      <c r="AD421" s="182"/>
      <c r="AE421" s="182"/>
      <c r="AF421" s="182"/>
      <c r="AG421" s="182"/>
      <c r="AH421" s="182"/>
      <c r="AI421" s="182"/>
      <c r="AJ421" s="182"/>
      <c r="AK421" s="182"/>
      <c r="AL421" s="182"/>
      <c r="AM421" s="182"/>
      <c r="AN421" s="182"/>
      <c r="AO421" s="182"/>
      <c r="AP421" s="182"/>
      <c r="AQ421" s="182"/>
      <c r="AR421" s="182"/>
      <c r="AS421" s="182"/>
      <c r="AT421" s="182"/>
      <c r="AU421" s="182"/>
    </row>
    <row r="422" spans="3:47">
      <c r="C422" s="664"/>
      <c r="D422" s="283"/>
      <c r="E422" s="283"/>
      <c r="F422" s="283"/>
      <c r="G422" s="283"/>
      <c r="H422" s="283"/>
      <c r="I422" s="283"/>
      <c r="J422" s="283"/>
      <c r="K422" s="283"/>
      <c r="L422" s="283"/>
      <c r="M422" s="283"/>
      <c r="N422" s="283"/>
      <c r="O422" s="283"/>
      <c r="P422" s="283"/>
      <c r="Q422" s="667"/>
      <c r="R422" s="283"/>
      <c r="S422" s="283"/>
      <c r="T422" s="182"/>
      <c r="U422" s="182"/>
      <c r="V422" s="182"/>
      <c r="W422" s="182"/>
      <c r="X422" s="182"/>
      <c r="Y422" s="182"/>
      <c r="Z422" s="182"/>
      <c r="AA422" s="182"/>
      <c r="AB422" s="182"/>
      <c r="AC422" s="182"/>
      <c r="AD422" s="182"/>
      <c r="AE422" s="182"/>
      <c r="AF422" s="182"/>
      <c r="AG422" s="182"/>
      <c r="AH422" s="182"/>
      <c r="AI422" s="182"/>
      <c r="AJ422" s="182"/>
      <c r="AK422" s="182"/>
      <c r="AL422" s="182"/>
      <c r="AM422" s="182"/>
      <c r="AN422" s="182"/>
      <c r="AO422" s="182"/>
      <c r="AP422" s="182"/>
      <c r="AQ422" s="182"/>
      <c r="AR422" s="182"/>
      <c r="AS422" s="182"/>
      <c r="AT422" s="182"/>
      <c r="AU422" s="182"/>
    </row>
    <row r="423" spans="3:47" ht="16">
      <c r="C423" s="664" t="s">
        <v>184</v>
      </c>
      <c r="D423" s="283"/>
      <c r="E423" s="283"/>
      <c r="F423" s="283">
        <f t="shared" ref="F423:Q423" si="171">NPV(F413+3%,F426:F454,(F455+F421))-F419</f>
        <v>0</v>
      </c>
      <c r="G423" s="283" t="e">
        <f t="shared" si="171"/>
        <v>#DIV/0!</v>
      </c>
      <c r="H423" s="283" t="e">
        <f t="shared" si="171"/>
        <v>#DIV/0!</v>
      </c>
      <c r="I423" s="283" t="e">
        <f t="shared" si="171"/>
        <v>#DIV/0!</v>
      </c>
      <c r="J423" s="283" t="e">
        <f t="shared" si="171"/>
        <v>#DIV/0!</v>
      </c>
      <c r="K423" s="283" t="e">
        <f t="shared" si="171"/>
        <v>#DIV/0!</v>
      </c>
      <c r="L423" s="283" t="e">
        <f t="shared" si="171"/>
        <v>#DIV/0!</v>
      </c>
      <c r="M423" s="283" t="e">
        <f t="shared" si="171"/>
        <v>#DIV/0!</v>
      </c>
      <c r="N423" s="283" t="e">
        <f t="shared" si="171"/>
        <v>#DIV/0!</v>
      </c>
      <c r="O423" s="283" t="e">
        <f t="shared" si="171"/>
        <v>#DIV/0!</v>
      </c>
      <c r="P423" s="283" t="e">
        <f t="shared" si="171"/>
        <v>#DIV/0!</v>
      </c>
      <c r="Q423" s="667" t="e">
        <f t="shared" si="171"/>
        <v>#DIV/0!</v>
      </c>
      <c r="R423" s="283"/>
      <c r="S423" s="283"/>
      <c r="T423" s="182"/>
      <c r="U423" s="182"/>
      <c r="V423" s="182"/>
      <c r="W423" s="182"/>
      <c r="X423" s="182"/>
      <c r="Y423" s="182"/>
      <c r="Z423" s="182"/>
      <c r="AA423" s="182"/>
      <c r="AB423" s="182"/>
      <c r="AC423" s="182"/>
      <c r="AD423" s="182"/>
      <c r="AE423" s="182"/>
      <c r="AF423" s="182"/>
      <c r="AG423" s="182"/>
      <c r="AH423" s="182"/>
      <c r="AI423" s="182"/>
      <c r="AJ423" s="182"/>
      <c r="AK423" s="182"/>
      <c r="AL423" s="182"/>
      <c r="AM423" s="182"/>
      <c r="AN423" s="182"/>
      <c r="AO423" s="182"/>
      <c r="AP423" s="182"/>
      <c r="AQ423" s="182"/>
      <c r="AR423" s="182"/>
      <c r="AS423" s="182"/>
      <c r="AT423" s="182"/>
      <c r="AU423" s="182"/>
    </row>
    <row r="424" spans="3:47">
      <c r="C424" s="664"/>
      <c r="D424" s="182"/>
      <c r="E424" s="182"/>
      <c r="F424" s="182"/>
      <c r="G424" s="182"/>
      <c r="H424" s="182"/>
      <c r="I424" s="182"/>
      <c r="J424" s="182"/>
      <c r="K424" s="182"/>
      <c r="L424" s="182"/>
      <c r="M424" s="182"/>
      <c r="N424" s="182"/>
      <c r="O424" s="182"/>
      <c r="P424" s="182"/>
      <c r="Q424" s="678"/>
      <c r="R424" s="283"/>
      <c r="S424" s="283"/>
      <c r="T424" s="182"/>
      <c r="U424" s="182"/>
      <c r="V424" s="182"/>
      <c r="W424" s="182"/>
      <c r="X424" s="182"/>
      <c r="Y424" s="182"/>
      <c r="Z424" s="182"/>
      <c r="AA424" s="182"/>
      <c r="AB424" s="182"/>
      <c r="AC424" s="182"/>
      <c r="AD424" s="182"/>
      <c r="AE424" s="182"/>
      <c r="AF424" s="182"/>
      <c r="AG424" s="182"/>
      <c r="AH424" s="182"/>
      <c r="AI424" s="182"/>
      <c r="AJ424" s="182"/>
      <c r="AK424" s="182"/>
      <c r="AL424" s="182"/>
      <c r="AM424" s="182"/>
      <c r="AN424" s="182"/>
      <c r="AO424" s="182"/>
      <c r="AP424" s="182"/>
      <c r="AQ424" s="182"/>
      <c r="AR424" s="182"/>
      <c r="AS424" s="182"/>
      <c r="AT424" s="182"/>
      <c r="AU424" s="182"/>
    </row>
    <row r="425" spans="3:47">
      <c r="C425" s="664">
        <v>0</v>
      </c>
      <c r="D425" s="283"/>
      <c r="E425" s="283"/>
      <c r="F425" s="283"/>
      <c r="G425" s="283"/>
      <c r="H425" s="283"/>
      <c r="I425" s="283"/>
      <c r="J425" s="283"/>
      <c r="K425" s="283"/>
      <c r="L425" s="283"/>
      <c r="M425" s="283"/>
      <c r="N425" s="283"/>
      <c r="O425" s="283"/>
      <c r="P425" s="283"/>
      <c r="Q425" s="667"/>
      <c r="R425" s="283"/>
      <c r="S425" s="283"/>
      <c r="T425" s="182"/>
      <c r="U425" s="182"/>
      <c r="V425" s="182"/>
      <c r="W425" s="182"/>
      <c r="X425" s="182"/>
      <c r="Y425" s="182"/>
      <c r="Z425" s="182"/>
      <c r="AA425" s="182"/>
      <c r="AB425" s="182"/>
      <c r="AC425" s="182"/>
      <c r="AD425" s="182"/>
      <c r="AE425" s="182"/>
      <c r="AF425" s="182"/>
      <c r="AG425" s="182"/>
      <c r="AH425" s="182"/>
      <c r="AI425" s="182"/>
      <c r="AJ425" s="182"/>
      <c r="AK425" s="182"/>
      <c r="AL425" s="182"/>
      <c r="AM425" s="182"/>
      <c r="AN425" s="182"/>
      <c r="AO425" s="182"/>
      <c r="AP425" s="182"/>
      <c r="AQ425" s="182"/>
      <c r="AR425" s="182"/>
      <c r="AS425" s="182"/>
      <c r="AT425" s="182"/>
      <c r="AU425" s="182"/>
    </row>
    <row r="426" spans="3:47">
      <c r="C426" s="664">
        <v>1</v>
      </c>
      <c r="D426" s="283"/>
      <c r="E426" s="283"/>
      <c r="F426" s="283">
        <f t="shared" ref="F426:Q426" si="172">F420*F412*G$302</f>
        <v>0</v>
      </c>
      <c r="G426" s="283" t="e">
        <f t="shared" si="172"/>
        <v>#DIV/0!</v>
      </c>
      <c r="H426" s="283" t="e">
        <f t="shared" si="172"/>
        <v>#DIV/0!</v>
      </c>
      <c r="I426" s="283" t="e">
        <f t="shared" si="172"/>
        <v>#DIV/0!</v>
      </c>
      <c r="J426" s="283" t="e">
        <f t="shared" si="172"/>
        <v>#DIV/0!</v>
      </c>
      <c r="K426" s="283" t="e">
        <f t="shared" si="172"/>
        <v>#DIV/0!</v>
      </c>
      <c r="L426" s="283" t="e">
        <f t="shared" si="172"/>
        <v>#DIV/0!</v>
      </c>
      <c r="M426" s="283" t="e">
        <f t="shared" si="172"/>
        <v>#DIV/0!</v>
      </c>
      <c r="N426" s="283" t="e">
        <f t="shared" si="172"/>
        <v>#DIV/0!</v>
      </c>
      <c r="O426" s="283" t="e">
        <f t="shared" si="172"/>
        <v>#DIV/0!</v>
      </c>
      <c r="P426" s="283" t="e">
        <f t="shared" si="172"/>
        <v>#DIV/0!</v>
      </c>
      <c r="Q426" s="667" t="e">
        <f t="shared" si="172"/>
        <v>#DIV/0!</v>
      </c>
      <c r="R426" s="283"/>
      <c r="S426" s="283"/>
      <c r="T426" s="182"/>
      <c r="U426" s="182"/>
      <c r="V426" s="182"/>
      <c r="W426" s="182"/>
      <c r="X426" s="182"/>
      <c r="Y426" s="182"/>
      <c r="Z426" s="182"/>
      <c r="AA426" s="182"/>
      <c r="AB426" s="182"/>
      <c r="AC426" s="182"/>
      <c r="AD426" s="182"/>
      <c r="AE426" s="182"/>
      <c r="AF426" s="182"/>
      <c r="AG426" s="182"/>
      <c r="AH426" s="182"/>
      <c r="AI426" s="182"/>
      <c r="AJ426" s="182"/>
      <c r="AK426" s="182"/>
      <c r="AL426" s="182"/>
      <c r="AM426" s="182"/>
      <c r="AN426" s="182"/>
      <c r="AO426" s="182"/>
      <c r="AP426" s="182"/>
      <c r="AQ426" s="182"/>
      <c r="AR426" s="182"/>
      <c r="AS426" s="182"/>
      <c r="AT426" s="182"/>
      <c r="AU426" s="182"/>
    </row>
    <row r="427" spans="3:47">
      <c r="C427" s="664">
        <v>2</v>
      </c>
      <c r="D427" s="283"/>
      <c r="E427" s="283"/>
      <c r="F427" s="283">
        <f t="shared" ref="F427:P427" si="173">F420*F412*H$302</f>
        <v>0</v>
      </c>
      <c r="G427" s="283" t="e">
        <f t="shared" si="173"/>
        <v>#DIV/0!</v>
      </c>
      <c r="H427" s="283" t="e">
        <f t="shared" si="173"/>
        <v>#DIV/0!</v>
      </c>
      <c r="I427" s="283" t="e">
        <f t="shared" si="173"/>
        <v>#DIV/0!</v>
      </c>
      <c r="J427" s="283" t="e">
        <f t="shared" si="173"/>
        <v>#DIV/0!</v>
      </c>
      <c r="K427" s="283" t="e">
        <f t="shared" si="173"/>
        <v>#DIV/0!</v>
      </c>
      <c r="L427" s="283" t="e">
        <f t="shared" si="173"/>
        <v>#DIV/0!</v>
      </c>
      <c r="M427" s="283" t="e">
        <f t="shared" si="173"/>
        <v>#DIV/0!</v>
      </c>
      <c r="N427" s="283" t="e">
        <f t="shared" si="173"/>
        <v>#DIV/0!</v>
      </c>
      <c r="O427" s="283" t="e">
        <f t="shared" si="173"/>
        <v>#DIV/0!</v>
      </c>
      <c r="P427" s="283" t="e">
        <f t="shared" si="173"/>
        <v>#DIV/0!</v>
      </c>
      <c r="Q427" s="667" t="e">
        <f>Q420*Q412*S$302</f>
        <v>#DIV/0!</v>
      </c>
      <c r="R427" s="283"/>
      <c r="S427" s="283"/>
      <c r="T427" s="182"/>
      <c r="U427" s="182"/>
      <c r="V427" s="182"/>
      <c r="W427" s="182"/>
      <c r="X427" s="182"/>
      <c r="Y427" s="182"/>
      <c r="Z427" s="182"/>
      <c r="AA427" s="182"/>
      <c r="AB427" s="182"/>
      <c r="AC427" s="182"/>
      <c r="AD427" s="182"/>
      <c r="AE427" s="182"/>
      <c r="AF427" s="182"/>
      <c r="AG427" s="182"/>
      <c r="AH427" s="182"/>
      <c r="AI427" s="182"/>
      <c r="AJ427" s="182"/>
      <c r="AK427" s="182"/>
      <c r="AL427" s="182"/>
      <c r="AM427" s="182"/>
      <c r="AN427" s="182"/>
      <c r="AO427" s="182"/>
      <c r="AP427" s="182"/>
      <c r="AQ427" s="182"/>
      <c r="AR427" s="182"/>
      <c r="AS427" s="182"/>
      <c r="AT427" s="182"/>
      <c r="AU427" s="182"/>
    </row>
    <row r="428" spans="3:47">
      <c r="C428" s="664">
        <v>3</v>
      </c>
      <c r="D428" s="283"/>
      <c r="E428" s="283"/>
      <c r="F428" s="283">
        <f t="shared" ref="F428:O428" si="174">F420*F412*I$302</f>
        <v>0</v>
      </c>
      <c r="G428" s="283" t="e">
        <f t="shared" si="174"/>
        <v>#DIV/0!</v>
      </c>
      <c r="H428" s="283" t="e">
        <f t="shared" si="174"/>
        <v>#DIV/0!</v>
      </c>
      <c r="I428" s="283" t="e">
        <f t="shared" si="174"/>
        <v>#DIV/0!</v>
      </c>
      <c r="J428" s="283" t="e">
        <f t="shared" si="174"/>
        <v>#DIV/0!</v>
      </c>
      <c r="K428" s="283" t="e">
        <f t="shared" si="174"/>
        <v>#DIV/0!</v>
      </c>
      <c r="L428" s="283" t="e">
        <f t="shared" si="174"/>
        <v>#DIV/0!</v>
      </c>
      <c r="M428" s="283" t="e">
        <f t="shared" si="174"/>
        <v>#DIV/0!</v>
      </c>
      <c r="N428" s="283" t="e">
        <f t="shared" si="174"/>
        <v>#DIV/0!</v>
      </c>
      <c r="O428" s="283" t="e">
        <f t="shared" si="174"/>
        <v>#DIV/0!</v>
      </c>
      <c r="P428" s="283" t="e">
        <f>P420*P412*S$302</f>
        <v>#DIV/0!</v>
      </c>
      <c r="Q428" s="667" t="e">
        <f>Q420*Q412*T$302</f>
        <v>#DIV/0!</v>
      </c>
      <c r="R428" s="283"/>
      <c r="S428" s="283"/>
      <c r="T428" s="182"/>
      <c r="U428" s="182"/>
      <c r="V428" s="182"/>
      <c r="W428" s="182"/>
      <c r="X428" s="182"/>
      <c r="Y428" s="182"/>
      <c r="Z428" s="182"/>
      <c r="AA428" s="182"/>
      <c r="AB428" s="182"/>
      <c r="AC428" s="182"/>
      <c r="AD428" s="182"/>
      <c r="AE428" s="182"/>
      <c r="AF428" s="182"/>
      <c r="AG428" s="182"/>
      <c r="AH428" s="182"/>
      <c r="AI428" s="182"/>
      <c r="AJ428" s="182"/>
      <c r="AK428" s="182"/>
      <c r="AL428" s="182"/>
      <c r="AM428" s="182"/>
      <c r="AN428" s="182"/>
      <c r="AO428" s="182"/>
      <c r="AP428" s="182"/>
      <c r="AQ428" s="182"/>
      <c r="AR428" s="182"/>
      <c r="AS428" s="182"/>
      <c r="AT428" s="182"/>
      <c r="AU428" s="182"/>
    </row>
    <row r="429" spans="3:47">
      <c r="C429" s="664">
        <v>4</v>
      </c>
      <c r="D429" s="283"/>
      <c r="E429" s="283"/>
      <c r="F429" s="283">
        <f t="shared" ref="F429:N429" si="175">F420*F412*J$302</f>
        <v>0</v>
      </c>
      <c r="G429" s="283" t="e">
        <f t="shared" si="175"/>
        <v>#DIV/0!</v>
      </c>
      <c r="H429" s="283" t="e">
        <f t="shared" si="175"/>
        <v>#DIV/0!</v>
      </c>
      <c r="I429" s="283" t="e">
        <f t="shared" si="175"/>
        <v>#DIV/0!</v>
      </c>
      <c r="J429" s="283" t="e">
        <f t="shared" si="175"/>
        <v>#DIV/0!</v>
      </c>
      <c r="K429" s="283" t="e">
        <f t="shared" si="175"/>
        <v>#DIV/0!</v>
      </c>
      <c r="L429" s="283" t="e">
        <f t="shared" si="175"/>
        <v>#DIV/0!</v>
      </c>
      <c r="M429" s="283" t="e">
        <f t="shared" si="175"/>
        <v>#DIV/0!</v>
      </c>
      <c r="N429" s="283" t="e">
        <f t="shared" si="175"/>
        <v>#DIV/0!</v>
      </c>
      <c r="O429" s="283" t="e">
        <f>O420*O412*S$302</f>
        <v>#DIV/0!</v>
      </c>
      <c r="P429" s="283" t="e">
        <f>P420*P412*T$302</f>
        <v>#DIV/0!</v>
      </c>
      <c r="Q429" s="667" t="e">
        <f>Q420*Q412*U$302</f>
        <v>#DIV/0!</v>
      </c>
      <c r="R429" s="283"/>
      <c r="S429" s="283"/>
      <c r="T429" s="182"/>
      <c r="U429" s="182"/>
      <c r="V429" s="182"/>
      <c r="W429" s="182"/>
      <c r="X429" s="182"/>
      <c r="Y429" s="182"/>
      <c r="Z429" s="182"/>
      <c r="AA429" s="182"/>
      <c r="AB429" s="182"/>
      <c r="AC429" s="182"/>
      <c r="AD429" s="182"/>
      <c r="AE429" s="182"/>
      <c r="AF429" s="182"/>
      <c r="AG429" s="182"/>
      <c r="AH429" s="182"/>
      <c r="AI429" s="182"/>
      <c r="AJ429" s="182"/>
      <c r="AK429" s="182"/>
      <c r="AL429" s="182"/>
      <c r="AM429" s="182"/>
      <c r="AN429" s="182"/>
      <c r="AO429" s="182"/>
      <c r="AP429" s="182"/>
      <c r="AQ429" s="182"/>
      <c r="AR429" s="182"/>
      <c r="AS429" s="182"/>
      <c r="AT429" s="182"/>
      <c r="AU429" s="182"/>
    </row>
    <row r="430" spans="3:47">
      <c r="C430" s="664">
        <v>5</v>
      </c>
      <c r="D430" s="283"/>
      <c r="E430" s="283"/>
      <c r="F430" s="283">
        <f t="shared" ref="F430:M430" si="176">F420*F412*K$302</f>
        <v>0</v>
      </c>
      <c r="G430" s="283" t="e">
        <f t="shared" si="176"/>
        <v>#DIV/0!</v>
      </c>
      <c r="H430" s="283" t="e">
        <f t="shared" si="176"/>
        <v>#DIV/0!</v>
      </c>
      <c r="I430" s="283" t="e">
        <f t="shared" si="176"/>
        <v>#DIV/0!</v>
      </c>
      <c r="J430" s="283" t="e">
        <f t="shared" si="176"/>
        <v>#DIV/0!</v>
      </c>
      <c r="K430" s="283" t="e">
        <f t="shared" si="176"/>
        <v>#DIV/0!</v>
      </c>
      <c r="L430" s="283" t="e">
        <f t="shared" si="176"/>
        <v>#DIV/0!</v>
      </c>
      <c r="M430" s="283" t="e">
        <f t="shared" si="176"/>
        <v>#DIV/0!</v>
      </c>
      <c r="N430" s="283" t="e">
        <f>N420*N412*S$302</f>
        <v>#DIV/0!</v>
      </c>
      <c r="O430" s="283" t="e">
        <f>O420*O412*T$302</f>
        <v>#DIV/0!</v>
      </c>
      <c r="P430" s="283" t="e">
        <f>P420*P412*U$302</f>
        <v>#DIV/0!</v>
      </c>
      <c r="Q430" s="667" t="e">
        <f>Q420*Q412*V$302</f>
        <v>#DIV/0!</v>
      </c>
      <c r="R430" s="283"/>
      <c r="S430" s="283"/>
      <c r="T430" s="182"/>
      <c r="U430" s="182"/>
      <c r="V430" s="182"/>
      <c r="W430" s="182"/>
      <c r="X430" s="182"/>
      <c r="Y430" s="182"/>
      <c r="Z430" s="182"/>
      <c r="AA430" s="182"/>
      <c r="AB430" s="182"/>
      <c r="AC430" s="182"/>
      <c r="AD430" s="182"/>
      <c r="AE430" s="182"/>
      <c r="AF430" s="182"/>
      <c r="AG430" s="182"/>
      <c r="AH430" s="182"/>
      <c r="AI430" s="182"/>
      <c r="AJ430" s="182"/>
      <c r="AK430" s="182"/>
      <c r="AL430" s="182"/>
      <c r="AM430" s="182"/>
      <c r="AN430" s="182"/>
      <c r="AO430" s="182"/>
      <c r="AP430" s="182"/>
      <c r="AQ430" s="182"/>
      <c r="AR430" s="182"/>
      <c r="AS430" s="182"/>
      <c r="AT430" s="182"/>
      <c r="AU430" s="182"/>
    </row>
    <row r="431" spans="3:47">
      <c r="C431" s="664">
        <v>6</v>
      </c>
      <c r="D431" s="283"/>
      <c r="E431" s="283"/>
      <c r="F431" s="283">
        <f>F420*F412*L$302</f>
        <v>0</v>
      </c>
      <c r="G431" s="283" t="e">
        <f t="shared" ref="G431:L431" si="177">G420*G412*M$302</f>
        <v>#DIV/0!</v>
      </c>
      <c r="H431" s="283" t="e">
        <f t="shared" si="177"/>
        <v>#DIV/0!</v>
      </c>
      <c r="I431" s="283" t="e">
        <f t="shared" si="177"/>
        <v>#DIV/0!</v>
      </c>
      <c r="J431" s="283" t="e">
        <f t="shared" si="177"/>
        <v>#DIV/0!</v>
      </c>
      <c r="K431" s="283" t="e">
        <f t="shared" si="177"/>
        <v>#DIV/0!</v>
      </c>
      <c r="L431" s="283" t="e">
        <f t="shared" si="177"/>
        <v>#DIV/0!</v>
      </c>
      <c r="M431" s="283" t="e">
        <f>M420*M412*S$302</f>
        <v>#DIV/0!</v>
      </c>
      <c r="N431" s="283" t="e">
        <f>N420*N412*T$302</f>
        <v>#DIV/0!</v>
      </c>
      <c r="O431" s="283" t="e">
        <f>O420*O412*U$302</f>
        <v>#DIV/0!</v>
      </c>
      <c r="P431" s="283" t="e">
        <f>P420*P412*V$302</f>
        <v>#DIV/0!</v>
      </c>
      <c r="Q431" s="667" t="e">
        <f>Q420*Q412*W$302</f>
        <v>#DIV/0!</v>
      </c>
      <c r="R431" s="283"/>
      <c r="S431" s="283"/>
      <c r="T431" s="182"/>
      <c r="U431" s="182"/>
      <c r="V431" s="182"/>
      <c r="W431" s="182"/>
      <c r="X431" s="182"/>
      <c r="Y431" s="182"/>
      <c r="Z431" s="182"/>
      <c r="AA431" s="182"/>
      <c r="AB431" s="182"/>
      <c r="AC431" s="182"/>
      <c r="AD431" s="182"/>
      <c r="AE431" s="182"/>
      <c r="AF431" s="182"/>
      <c r="AG431" s="182"/>
      <c r="AH431" s="182"/>
      <c r="AI431" s="182"/>
      <c r="AJ431" s="182"/>
      <c r="AK431" s="182"/>
      <c r="AL431" s="182"/>
      <c r="AM431" s="182"/>
      <c r="AN431" s="182"/>
      <c r="AO431" s="182"/>
      <c r="AP431" s="182"/>
      <c r="AQ431" s="182"/>
      <c r="AR431" s="182"/>
      <c r="AS431" s="182"/>
      <c r="AT431" s="182"/>
      <c r="AU431" s="182"/>
    </row>
    <row r="432" spans="3:47">
      <c r="C432" s="664">
        <v>7</v>
      </c>
      <c r="D432" s="283"/>
      <c r="E432" s="283"/>
      <c r="F432" s="283">
        <f>F420*F412*M$302</f>
        <v>0</v>
      </c>
      <c r="G432" s="283" t="e">
        <f t="shared" ref="G432:K432" si="178">G420*G412*N$302</f>
        <v>#DIV/0!</v>
      </c>
      <c r="H432" s="283" t="e">
        <f t="shared" si="178"/>
        <v>#DIV/0!</v>
      </c>
      <c r="I432" s="283" t="e">
        <f t="shared" si="178"/>
        <v>#DIV/0!</v>
      </c>
      <c r="J432" s="283" t="e">
        <f t="shared" si="178"/>
        <v>#DIV/0!</v>
      </c>
      <c r="K432" s="283" t="e">
        <f t="shared" si="178"/>
        <v>#DIV/0!</v>
      </c>
      <c r="L432" s="283" t="e">
        <f t="shared" ref="L432:Q432" si="179">L420*L412*S$302</f>
        <v>#DIV/0!</v>
      </c>
      <c r="M432" s="283" t="e">
        <f t="shared" si="179"/>
        <v>#DIV/0!</v>
      </c>
      <c r="N432" s="283" t="e">
        <f t="shared" si="179"/>
        <v>#DIV/0!</v>
      </c>
      <c r="O432" s="283" t="e">
        <f t="shared" si="179"/>
        <v>#DIV/0!</v>
      </c>
      <c r="P432" s="283" t="e">
        <f t="shared" si="179"/>
        <v>#DIV/0!</v>
      </c>
      <c r="Q432" s="667" t="e">
        <f t="shared" si="179"/>
        <v>#DIV/0!</v>
      </c>
      <c r="R432" s="283"/>
      <c r="S432" s="283"/>
      <c r="T432" s="182"/>
      <c r="U432" s="182"/>
      <c r="V432" s="182"/>
      <c r="W432" s="182"/>
      <c r="X432" s="182"/>
      <c r="Y432" s="182"/>
      <c r="Z432" s="182"/>
      <c r="AA432" s="182"/>
      <c r="AB432" s="182"/>
      <c r="AC432" s="182"/>
      <c r="AD432" s="182"/>
      <c r="AE432" s="182"/>
      <c r="AF432" s="182"/>
      <c r="AG432" s="182"/>
      <c r="AH432" s="182"/>
      <c r="AI432" s="182"/>
      <c r="AJ432" s="182"/>
      <c r="AK432" s="182"/>
      <c r="AL432" s="182"/>
      <c r="AM432" s="182"/>
      <c r="AN432" s="182"/>
      <c r="AO432" s="182"/>
      <c r="AP432" s="182"/>
      <c r="AQ432" s="182"/>
      <c r="AR432" s="182"/>
      <c r="AS432" s="182"/>
      <c r="AT432" s="182"/>
      <c r="AU432" s="182"/>
    </row>
    <row r="433" spans="3:47">
      <c r="C433" s="664">
        <v>8</v>
      </c>
      <c r="D433" s="283"/>
      <c r="E433" s="283"/>
      <c r="F433" s="283">
        <f>F420*F412*N$302</f>
        <v>0</v>
      </c>
      <c r="G433" s="283" t="e">
        <f t="shared" ref="G433:J433" si="180">G420*G412*O$302</f>
        <v>#DIV/0!</v>
      </c>
      <c r="H433" s="283" t="e">
        <f t="shared" si="180"/>
        <v>#DIV/0!</v>
      </c>
      <c r="I433" s="283" t="e">
        <f t="shared" si="180"/>
        <v>#DIV/0!</v>
      </c>
      <c r="J433" s="283" t="e">
        <f t="shared" si="180"/>
        <v>#DIV/0!</v>
      </c>
      <c r="K433" s="283" t="e">
        <f t="shared" ref="K433:Q433" si="181">K420*K412*S$302</f>
        <v>#DIV/0!</v>
      </c>
      <c r="L433" s="283" t="e">
        <f t="shared" si="181"/>
        <v>#DIV/0!</v>
      </c>
      <c r="M433" s="283" t="e">
        <f t="shared" si="181"/>
        <v>#DIV/0!</v>
      </c>
      <c r="N433" s="283" t="e">
        <f t="shared" si="181"/>
        <v>#DIV/0!</v>
      </c>
      <c r="O433" s="283" t="e">
        <f t="shared" si="181"/>
        <v>#DIV/0!</v>
      </c>
      <c r="P433" s="283" t="e">
        <f t="shared" si="181"/>
        <v>#DIV/0!</v>
      </c>
      <c r="Q433" s="667" t="e">
        <f t="shared" si="181"/>
        <v>#DIV/0!</v>
      </c>
      <c r="R433" s="283"/>
      <c r="S433" s="283"/>
      <c r="T433" s="182"/>
      <c r="U433" s="182"/>
      <c r="V433" s="182"/>
      <c r="W433" s="182"/>
      <c r="X433" s="182"/>
      <c r="Y433" s="182"/>
      <c r="Z433" s="182"/>
      <c r="AA433" s="182"/>
      <c r="AB433" s="182"/>
      <c r="AC433" s="182"/>
      <c r="AD433" s="182"/>
      <c r="AE433" s="182"/>
      <c r="AF433" s="182"/>
      <c r="AG433" s="182"/>
      <c r="AH433" s="182"/>
      <c r="AI433" s="182"/>
      <c r="AJ433" s="182"/>
      <c r="AK433" s="182"/>
      <c r="AL433" s="182"/>
      <c r="AM433" s="182"/>
      <c r="AN433" s="182"/>
      <c r="AO433" s="182"/>
      <c r="AP433" s="182"/>
      <c r="AQ433" s="182"/>
      <c r="AR433" s="182"/>
      <c r="AS433" s="182"/>
      <c r="AT433" s="182"/>
      <c r="AU433" s="182"/>
    </row>
    <row r="434" spans="3:47">
      <c r="C434" s="664">
        <v>9</v>
      </c>
      <c r="D434" s="283"/>
      <c r="E434" s="283"/>
      <c r="F434" s="283">
        <f>F420*F412*O$302</f>
        <v>0</v>
      </c>
      <c r="G434" s="283" t="e">
        <f t="shared" ref="G434:I434" si="182">G420*G412*P$302</f>
        <v>#DIV/0!</v>
      </c>
      <c r="H434" s="283" t="e">
        <f t="shared" si="182"/>
        <v>#DIV/0!</v>
      </c>
      <c r="I434" s="283" t="e">
        <f t="shared" si="182"/>
        <v>#DIV/0!</v>
      </c>
      <c r="J434" s="283" t="e">
        <f t="shared" ref="J434:Q434" si="183">J420*J412*S$302</f>
        <v>#DIV/0!</v>
      </c>
      <c r="K434" s="283" t="e">
        <f t="shared" si="183"/>
        <v>#DIV/0!</v>
      </c>
      <c r="L434" s="283" t="e">
        <f t="shared" si="183"/>
        <v>#DIV/0!</v>
      </c>
      <c r="M434" s="283" t="e">
        <f t="shared" si="183"/>
        <v>#DIV/0!</v>
      </c>
      <c r="N434" s="283" t="e">
        <f t="shared" si="183"/>
        <v>#DIV/0!</v>
      </c>
      <c r="O434" s="283" t="e">
        <f t="shared" si="183"/>
        <v>#DIV/0!</v>
      </c>
      <c r="P434" s="283" t="e">
        <f t="shared" si="183"/>
        <v>#DIV/0!</v>
      </c>
      <c r="Q434" s="667" t="e">
        <f t="shared" si="183"/>
        <v>#DIV/0!</v>
      </c>
      <c r="R434" s="283"/>
      <c r="S434" s="283"/>
      <c r="T434" s="182"/>
      <c r="U434" s="182"/>
      <c r="V434" s="182"/>
      <c r="W434" s="182"/>
      <c r="X434" s="182"/>
      <c r="Y434" s="182"/>
      <c r="Z434" s="182"/>
      <c r="AA434" s="182"/>
      <c r="AB434" s="182"/>
      <c r="AC434" s="182"/>
      <c r="AD434" s="182"/>
      <c r="AE434" s="182"/>
      <c r="AF434" s="182"/>
      <c r="AG434" s="182"/>
      <c r="AH434" s="182"/>
      <c r="AI434" s="182"/>
      <c r="AJ434" s="182"/>
      <c r="AK434" s="182"/>
      <c r="AL434" s="182"/>
      <c r="AM434" s="182"/>
      <c r="AN434" s="182"/>
      <c r="AO434" s="182"/>
      <c r="AP434" s="182"/>
      <c r="AQ434" s="182"/>
      <c r="AR434" s="182"/>
      <c r="AS434" s="182"/>
      <c r="AT434" s="182"/>
      <c r="AU434" s="182"/>
    </row>
    <row r="435" spans="3:47">
      <c r="C435" s="664">
        <v>10</v>
      </c>
      <c r="D435" s="283"/>
      <c r="E435" s="283"/>
      <c r="F435" s="283">
        <f>F420*F412*'Deuda a emitir'!P$13</f>
        <v>0</v>
      </c>
      <c r="G435" s="283" t="e">
        <f>G420*G412*'Deuda a emitir'!Q$13</f>
        <v>#DIV/0!</v>
      </c>
      <c r="H435" s="283" t="e">
        <f>H420*H412*'Deuda a emitir'!R$13</f>
        <v>#DIV/0!</v>
      </c>
      <c r="I435" s="283" t="e">
        <f>I420*I412*'Deuda a emitir'!S$13</f>
        <v>#DIV/0!</v>
      </c>
      <c r="J435" s="283" t="e">
        <f>J420*J412*'Deuda a emitir'!T$13</f>
        <v>#DIV/0!</v>
      </c>
      <c r="K435" s="283" t="e">
        <f>K420*K412*'Deuda a emitir'!U$13</f>
        <v>#DIV/0!</v>
      </c>
      <c r="L435" s="283" t="e">
        <f>L420*L412*'Deuda a emitir'!V$13</f>
        <v>#DIV/0!</v>
      </c>
      <c r="M435" s="283" t="e">
        <f>M420*M412*'Deuda a emitir'!W$13</f>
        <v>#DIV/0!</v>
      </c>
      <c r="N435" s="283" t="e">
        <f>N420*N412*'Deuda a emitir'!X$13</f>
        <v>#DIV/0!</v>
      </c>
      <c r="O435" s="283" t="e">
        <f>O420*O412*'Deuda a emitir'!Y$13</f>
        <v>#DIV/0!</v>
      </c>
      <c r="P435" s="283" t="e">
        <f>P420*P412*'Deuda a emitir'!Z$13</f>
        <v>#DIV/0!</v>
      </c>
      <c r="Q435" s="667" t="e">
        <f>Q420*Q412*'Deuda a emitir'!AA$13</f>
        <v>#DIV/0!</v>
      </c>
      <c r="R435" s="283"/>
      <c r="S435" s="283"/>
      <c r="T435" s="182"/>
      <c r="U435" s="182"/>
      <c r="V435" s="182"/>
      <c r="W435" s="182"/>
      <c r="X435" s="182"/>
      <c r="Y435" s="182"/>
      <c r="Z435" s="182"/>
      <c r="AA435" s="182"/>
      <c r="AB435" s="182"/>
      <c r="AC435" s="182"/>
      <c r="AD435" s="182"/>
      <c r="AE435" s="182"/>
      <c r="AF435" s="182"/>
      <c r="AG435" s="182"/>
      <c r="AH435" s="182"/>
      <c r="AI435" s="182"/>
      <c r="AJ435" s="182"/>
      <c r="AK435" s="182"/>
      <c r="AL435" s="182"/>
      <c r="AM435" s="182"/>
      <c r="AN435" s="182"/>
      <c r="AO435" s="182"/>
      <c r="AP435" s="182"/>
      <c r="AQ435" s="182"/>
      <c r="AR435" s="182"/>
      <c r="AS435" s="182"/>
      <c r="AT435" s="182"/>
      <c r="AU435" s="182"/>
    </row>
    <row r="436" spans="3:47">
      <c r="C436" s="664">
        <v>11</v>
      </c>
      <c r="D436" s="283"/>
      <c r="E436" s="283"/>
      <c r="F436" s="283">
        <f>F420*F412*'Deuda a emitir'!Q$13</f>
        <v>0</v>
      </c>
      <c r="G436" s="283" t="e">
        <f>G420*G412*'Deuda a emitir'!R$13</f>
        <v>#DIV/0!</v>
      </c>
      <c r="H436" s="283" t="e">
        <f>H420*H412*'Deuda a emitir'!S$13</f>
        <v>#DIV/0!</v>
      </c>
      <c r="I436" s="283" t="e">
        <f>I420*I412*'Deuda a emitir'!T$13</f>
        <v>#DIV/0!</v>
      </c>
      <c r="J436" s="283" t="e">
        <f>J420*J412*'Deuda a emitir'!U$13</f>
        <v>#DIV/0!</v>
      </c>
      <c r="K436" s="283" t="e">
        <f>K420*K412*'Deuda a emitir'!V$13</f>
        <v>#DIV/0!</v>
      </c>
      <c r="L436" s="283" t="e">
        <f>L420*L412*'Deuda a emitir'!W$13</f>
        <v>#DIV/0!</v>
      </c>
      <c r="M436" s="283" t="e">
        <f>M420*M412*'Deuda a emitir'!X$13</f>
        <v>#DIV/0!</v>
      </c>
      <c r="N436" s="283" t="e">
        <f>N420*N412*'Deuda a emitir'!Y$13</f>
        <v>#DIV/0!</v>
      </c>
      <c r="O436" s="283" t="e">
        <f>O420*O412*'Deuda a emitir'!Z$13</f>
        <v>#DIV/0!</v>
      </c>
      <c r="P436" s="283" t="e">
        <f>P420*P412*'Deuda a emitir'!AA$13</f>
        <v>#DIV/0!</v>
      </c>
      <c r="Q436" s="667" t="e">
        <f>Q420*Q412*'Deuda a emitir'!AB$13</f>
        <v>#DIV/0!</v>
      </c>
      <c r="R436" s="283"/>
      <c r="S436" s="283"/>
      <c r="T436" s="182"/>
      <c r="U436" s="182"/>
      <c r="V436" s="182"/>
      <c r="W436" s="182"/>
      <c r="X436" s="182"/>
      <c r="Y436" s="182"/>
      <c r="Z436" s="182"/>
      <c r="AA436" s="182"/>
      <c r="AB436" s="182"/>
      <c r="AC436" s="182"/>
      <c r="AD436" s="182"/>
      <c r="AE436" s="182"/>
      <c r="AF436" s="182"/>
      <c r="AG436" s="182"/>
      <c r="AH436" s="182"/>
      <c r="AI436" s="182"/>
      <c r="AJ436" s="182"/>
      <c r="AK436" s="182"/>
      <c r="AL436" s="182"/>
      <c r="AM436" s="182"/>
      <c r="AN436" s="182"/>
      <c r="AO436" s="182"/>
      <c r="AP436" s="182"/>
      <c r="AQ436" s="182"/>
      <c r="AR436" s="182"/>
      <c r="AS436" s="182"/>
      <c r="AT436" s="182"/>
      <c r="AU436" s="182"/>
    </row>
    <row r="437" spans="3:47">
      <c r="C437" s="664">
        <v>12</v>
      </c>
      <c r="D437" s="283"/>
      <c r="E437" s="283"/>
      <c r="F437" s="283">
        <f>F420*F412*'Deuda a emitir'!R$13</f>
        <v>0</v>
      </c>
      <c r="G437" s="283" t="e">
        <f>G420*G412*'Deuda a emitir'!S$13</f>
        <v>#DIV/0!</v>
      </c>
      <c r="H437" s="283" t="e">
        <f>H420*H412*'Deuda a emitir'!T$13</f>
        <v>#DIV/0!</v>
      </c>
      <c r="I437" s="283" t="e">
        <f>I420*I412*'Deuda a emitir'!U$13</f>
        <v>#DIV/0!</v>
      </c>
      <c r="J437" s="283" t="e">
        <f>J420*J412*'Deuda a emitir'!V$13</f>
        <v>#DIV/0!</v>
      </c>
      <c r="K437" s="283" t="e">
        <f>K420*K412*'Deuda a emitir'!W$13</f>
        <v>#DIV/0!</v>
      </c>
      <c r="L437" s="283" t="e">
        <f>L420*L412*'Deuda a emitir'!X$13</f>
        <v>#DIV/0!</v>
      </c>
      <c r="M437" s="283" t="e">
        <f>M420*M412*'Deuda a emitir'!Y$13</f>
        <v>#DIV/0!</v>
      </c>
      <c r="N437" s="283" t="e">
        <f>N420*N412*'Deuda a emitir'!Z$13</f>
        <v>#DIV/0!</v>
      </c>
      <c r="O437" s="283" t="e">
        <f>O420*O412*'Deuda a emitir'!AA$13</f>
        <v>#DIV/0!</v>
      </c>
      <c r="P437" s="283" t="e">
        <f>P420*P412*'Deuda a emitir'!AB$13</f>
        <v>#DIV/0!</v>
      </c>
      <c r="Q437" s="667" t="e">
        <f>Q420*Q412*'Deuda a emitir'!AC$13</f>
        <v>#DIV/0!</v>
      </c>
      <c r="R437" s="283"/>
      <c r="S437" s="283"/>
      <c r="T437" s="182"/>
      <c r="U437" s="182"/>
      <c r="V437" s="182"/>
      <c r="W437" s="182"/>
      <c r="X437" s="182"/>
      <c r="Y437" s="182"/>
      <c r="Z437" s="182"/>
      <c r="AA437" s="182"/>
      <c r="AB437" s="182"/>
      <c r="AC437" s="182"/>
      <c r="AD437" s="182"/>
      <c r="AE437" s="182"/>
      <c r="AF437" s="182"/>
      <c r="AG437" s="182"/>
      <c r="AH437" s="182"/>
      <c r="AI437" s="182"/>
      <c r="AJ437" s="182"/>
      <c r="AK437" s="182"/>
      <c r="AL437" s="182"/>
      <c r="AM437" s="182"/>
      <c r="AN437" s="182"/>
      <c r="AO437" s="182"/>
      <c r="AP437" s="182"/>
      <c r="AQ437" s="182"/>
      <c r="AR437" s="182"/>
      <c r="AS437" s="182"/>
      <c r="AT437" s="182"/>
      <c r="AU437" s="182"/>
    </row>
    <row r="438" spans="3:47">
      <c r="C438" s="664">
        <v>13</v>
      </c>
      <c r="D438" s="283"/>
      <c r="E438" s="283"/>
      <c r="F438" s="283">
        <f>F420*F412*'Deuda a emitir'!S$13</f>
        <v>0</v>
      </c>
      <c r="G438" s="283" t="e">
        <f>G420*G412*'Deuda a emitir'!T$13</f>
        <v>#DIV/0!</v>
      </c>
      <c r="H438" s="283" t="e">
        <f>H420*H412*'Deuda a emitir'!U$13</f>
        <v>#DIV/0!</v>
      </c>
      <c r="I438" s="283" t="e">
        <f>I420*I412*'Deuda a emitir'!V$13</f>
        <v>#DIV/0!</v>
      </c>
      <c r="J438" s="283" t="e">
        <f>J420*J412*'Deuda a emitir'!W$13</f>
        <v>#DIV/0!</v>
      </c>
      <c r="K438" s="283" t="e">
        <f>K420*K412*'Deuda a emitir'!X$13</f>
        <v>#DIV/0!</v>
      </c>
      <c r="L438" s="283" t="e">
        <f>L420*L412*'Deuda a emitir'!Y$13</f>
        <v>#DIV/0!</v>
      </c>
      <c r="M438" s="283" t="e">
        <f>M420*M412*'Deuda a emitir'!Z$13</f>
        <v>#DIV/0!</v>
      </c>
      <c r="N438" s="283" t="e">
        <f>N420*N412*'Deuda a emitir'!AA$13</f>
        <v>#DIV/0!</v>
      </c>
      <c r="O438" s="283" t="e">
        <f>O420*O412*'Deuda a emitir'!AB$13</f>
        <v>#DIV/0!</v>
      </c>
      <c r="P438" s="283" t="e">
        <f>P420*P412*'Deuda a emitir'!AC$13</f>
        <v>#DIV/0!</v>
      </c>
      <c r="Q438" s="667" t="e">
        <f>Q420*Q412*'Deuda a emitir'!AD$13</f>
        <v>#DIV/0!</v>
      </c>
      <c r="R438" s="283"/>
      <c r="S438" s="283"/>
      <c r="T438" s="182"/>
      <c r="U438" s="182"/>
      <c r="V438" s="182"/>
      <c r="W438" s="182"/>
      <c r="X438" s="182"/>
      <c r="Y438" s="182"/>
      <c r="Z438" s="182"/>
      <c r="AA438" s="182"/>
      <c r="AB438" s="182"/>
      <c r="AC438" s="182"/>
      <c r="AD438" s="182"/>
      <c r="AE438" s="182"/>
      <c r="AF438" s="182"/>
      <c r="AG438" s="182"/>
      <c r="AH438" s="182"/>
      <c r="AI438" s="182"/>
      <c r="AJ438" s="182"/>
      <c r="AK438" s="182"/>
      <c r="AL438" s="182"/>
      <c r="AM438" s="182"/>
      <c r="AN438" s="182"/>
      <c r="AO438" s="182"/>
      <c r="AP438" s="182"/>
      <c r="AQ438" s="182"/>
      <c r="AR438" s="182"/>
      <c r="AS438" s="182"/>
      <c r="AT438" s="182"/>
      <c r="AU438" s="182"/>
    </row>
    <row r="439" spans="3:47">
      <c r="C439" s="664">
        <v>14</v>
      </c>
      <c r="D439" s="283"/>
      <c r="E439" s="283"/>
      <c r="F439" s="283">
        <f>F420*F412*'Deuda a emitir'!T$13</f>
        <v>0</v>
      </c>
      <c r="G439" s="283" t="e">
        <f>G420*G412*'Deuda a emitir'!U$13</f>
        <v>#DIV/0!</v>
      </c>
      <c r="H439" s="283" t="e">
        <f>H420*H412*'Deuda a emitir'!V$13</f>
        <v>#DIV/0!</v>
      </c>
      <c r="I439" s="283" t="e">
        <f>I420*I412*'Deuda a emitir'!W$13</f>
        <v>#DIV/0!</v>
      </c>
      <c r="J439" s="283" t="e">
        <f>J420*J412*'Deuda a emitir'!X$13</f>
        <v>#DIV/0!</v>
      </c>
      <c r="K439" s="283" t="e">
        <f>K420*K412*'Deuda a emitir'!Y$13</f>
        <v>#DIV/0!</v>
      </c>
      <c r="L439" s="283" t="e">
        <f>L420*L412*'Deuda a emitir'!Z$13</f>
        <v>#DIV/0!</v>
      </c>
      <c r="M439" s="283" t="e">
        <f>M420*M412*'Deuda a emitir'!AA$13</f>
        <v>#DIV/0!</v>
      </c>
      <c r="N439" s="283" t="e">
        <f>N420*N412*'Deuda a emitir'!AB$13</f>
        <v>#DIV/0!</v>
      </c>
      <c r="O439" s="283" t="e">
        <f>O420*O412*'Deuda a emitir'!AC$13</f>
        <v>#DIV/0!</v>
      </c>
      <c r="P439" s="283" t="e">
        <f>P420*P412*'Deuda a emitir'!AD$13</f>
        <v>#DIV/0!</v>
      </c>
      <c r="Q439" s="667" t="e">
        <f>Q420*Q412*'Deuda a emitir'!AE$13</f>
        <v>#DIV/0!</v>
      </c>
      <c r="R439" s="283"/>
      <c r="S439" s="283"/>
      <c r="T439" s="182"/>
      <c r="U439" s="182"/>
      <c r="V439" s="182"/>
      <c r="W439" s="182"/>
      <c r="X439" s="182"/>
      <c r="Y439" s="182"/>
      <c r="Z439" s="182"/>
      <c r="AA439" s="182"/>
      <c r="AB439" s="182"/>
      <c r="AC439" s="182"/>
      <c r="AD439" s="182"/>
      <c r="AE439" s="182"/>
      <c r="AF439" s="182"/>
      <c r="AG439" s="182"/>
      <c r="AH439" s="182"/>
      <c r="AI439" s="182"/>
      <c r="AJ439" s="182"/>
      <c r="AK439" s="182"/>
      <c r="AL439" s="182"/>
      <c r="AM439" s="182"/>
      <c r="AN439" s="182"/>
      <c r="AO439" s="182"/>
      <c r="AP439" s="182"/>
      <c r="AQ439" s="182"/>
      <c r="AR439" s="182"/>
      <c r="AS439" s="182"/>
      <c r="AT439" s="182"/>
      <c r="AU439" s="182"/>
    </row>
    <row r="440" spans="3:47">
      <c r="C440" s="664">
        <v>15</v>
      </c>
      <c r="D440" s="283"/>
      <c r="E440" s="283"/>
      <c r="F440" s="283">
        <f>F420*F412*'Deuda a emitir'!U$13</f>
        <v>0</v>
      </c>
      <c r="G440" s="283" t="e">
        <f>G420*G412*'Deuda a emitir'!V$13</f>
        <v>#DIV/0!</v>
      </c>
      <c r="H440" s="283" t="e">
        <f>H420*H412*'Deuda a emitir'!W$13</f>
        <v>#DIV/0!</v>
      </c>
      <c r="I440" s="283" t="e">
        <f>I420*I412*'Deuda a emitir'!X$13</f>
        <v>#DIV/0!</v>
      </c>
      <c r="J440" s="283" t="e">
        <f>J420*J412*'Deuda a emitir'!Y$13</f>
        <v>#DIV/0!</v>
      </c>
      <c r="K440" s="283" t="e">
        <f>K420*K412*'Deuda a emitir'!Z$13</f>
        <v>#DIV/0!</v>
      </c>
      <c r="L440" s="283" t="e">
        <f>L420*L412*'Deuda a emitir'!AA$13</f>
        <v>#DIV/0!</v>
      </c>
      <c r="M440" s="283" t="e">
        <f>M420*M412*'Deuda a emitir'!AB$13</f>
        <v>#DIV/0!</v>
      </c>
      <c r="N440" s="283" t="e">
        <f>N420*N412*'Deuda a emitir'!AC$13</f>
        <v>#DIV/0!</v>
      </c>
      <c r="O440" s="283" t="e">
        <f>O420*O412*'Deuda a emitir'!AD$13</f>
        <v>#DIV/0!</v>
      </c>
      <c r="P440" s="283" t="e">
        <f>P420*P412*'Deuda a emitir'!AE$13</f>
        <v>#DIV/0!</v>
      </c>
      <c r="Q440" s="667" t="e">
        <f>Q420*Q412*'Deuda a emitir'!AF$13</f>
        <v>#DIV/0!</v>
      </c>
      <c r="R440" s="283"/>
      <c r="S440" s="283"/>
      <c r="T440" s="182"/>
      <c r="U440" s="182"/>
      <c r="V440" s="182"/>
      <c r="W440" s="182"/>
      <c r="X440" s="182"/>
      <c r="Y440" s="182"/>
      <c r="Z440" s="182"/>
      <c r="AA440" s="182"/>
      <c r="AB440" s="182"/>
      <c r="AC440" s="182"/>
      <c r="AD440" s="182"/>
      <c r="AE440" s="182"/>
      <c r="AF440" s="182"/>
      <c r="AG440" s="182"/>
      <c r="AH440" s="182"/>
      <c r="AI440" s="182"/>
      <c r="AJ440" s="182"/>
      <c r="AK440" s="182"/>
      <c r="AL440" s="182"/>
      <c r="AM440" s="182"/>
      <c r="AN440" s="182"/>
      <c r="AO440" s="182"/>
      <c r="AP440" s="182"/>
      <c r="AQ440" s="182"/>
      <c r="AR440" s="182"/>
      <c r="AS440" s="182"/>
      <c r="AT440" s="182"/>
      <c r="AU440" s="182"/>
    </row>
    <row r="441" spans="3:47">
      <c r="C441" s="664">
        <v>16</v>
      </c>
      <c r="D441" s="283"/>
      <c r="E441" s="283"/>
      <c r="F441" s="283">
        <f>F420*F412*'Deuda a emitir'!V$13</f>
        <v>0</v>
      </c>
      <c r="G441" s="283" t="e">
        <f>G420*G412*'Deuda a emitir'!W$13</f>
        <v>#DIV/0!</v>
      </c>
      <c r="H441" s="283" t="e">
        <f>H420*H412*'Deuda a emitir'!X$13</f>
        <v>#DIV/0!</v>
      </c>
      <c r="I441" s="283" t="e">
        <f>I420*I412*'Deuda a emitir'!Y$13</f>
        <v>#DIV/0!</v>
      </c>
      <c r="J441" s="283" t="e">
        <f>J420*J412*'Deuda a emitir'!Z$13</f>
        <v>#DIV/0!</v>
      </c>
      <c r="K441" s="283" t="e">
        <f>K420*K412*'Deuda a emitir'!AA$13</f>
        <v>#DIV/0!</v>
      </c>
      <c r="L441" s="283" t="e">
        <f>L420*L412*'Deuda a emitir'!AB$13</f>
        <v>#DIV/0!</v>
      </c>
      <c r="M441" s="283" t="e">
        <f>M420*M412*'Deuda a emitir'!AC$13</f>
        <v>#DIV/0!</v>
      </c>
      <c r="N441" s="283" t="e">
        <f>N420*N412*'Deuda a emitir'!AD$13</f>
        <v>#DIV/0!</v>
      </c>
      <c r="O441" s="283" t="e">
        <f>O420*O412*'Deuda a emitir'!AE$13</f>
        <v>#DIV/0!</v>
      </c>
      <c r="P441" s="283" t="e">
        <f>P420*P412*'Deuda a emitir'!AF$13</f>
        <v>#DIV/0!</v>
      </c>
      <c r="Q441" s="667" t="e">
        <f>Q420*Q412*'Deuda a emitir'!AG$13</f>
        <v>#DIV/0!</v>
      </c>
      <c r="R441" s="283"/>
      <c r="S441" s="283"/>
      <c r="T441" s="182"/>
      <c r="U441" s="182"/>
      <c r="V441" s="182"/>
      <c r="W441" s="182"/>
      <c r="X441" s="182"/>
      <c r="Y441" s="182"/>
      <c r="Z441" s="182"/>
      <c r="AA441" s="182"/>
      <c r="AB441" s="182"/>
      <c r="AC441" s="182"/>
      <c r="AD441" s="182"/>
      <c r="AE441" s="182"/>
      <c r="AF441" s="182"/>
      <c r="AG441" s="182"/>
      <c r="AH441" s="182"/>
      <c r="AI441" s="182"/>
      <c r="AJ441" s="182"/>
      <c r="AK441" s="182"/>
      <c r="AL441" s="182"/>
      <c r="AM441" s="182"/>
      <c r="AN441" s="182"/>
      <c r="AO441" s="182"/>
      <c r="AP441" s="182"/>
      <c r="AQ441" s="182"/>
      <c r="AR441" s="182"/>
      <c r="AS441" s="182"/>
      <c r="AT441" s="182"/>
      <c r="AU441" s="182"/>
    </row>
    <row r="442" spans="3:47">
      <c r="C442" s="664">
        <v>17</v>
      </c>
      <c r="D442" s="283"/>
      <c r="E442" s="283"/>
      <c r="F442" s="283">
        <f>F420*F412*'Deuda a emitir'!W$13</f>
        <v>0</v>
      </c>
      <c r="G442" s="283" t="e">
        <f>G420*G412*'Deuda a emitir'!X$13</f>
        <v>#DIV/0!</v>
      </c>
      <c r="H442" s="283" t="e">
        <f>H420*H412*'Deuda a emitir'!Y$13</f>
        <v>#DIV/0!</v>
      </c>
      <c r="I442" s="283" t="e">
        <f>I420*I412*'Deuda a emitir'!Z$13</f>
        <v>#DIV/0!</v>
      </c>
      <c r="J442" s="283" t="e">
        <f>J420*J412*'Deuda a emitir'!AA$13</f>
        <v>#DIV/0!</v>
      </c>
      <c r="K442" s="283" t="e">
        <f>K420*K412*'Deuda a emitir'!AB$13</f>
        <v>#DIV/0!</v>
      </c>
      <c r="L442" s="283" t="e">
        <f>L420*L412*'Deuda a emitir'!AC$13</f>
        <v>#DIV/0!</v>
      </c>
      <c r="M442" s="283" t="e">
        <f>M420*M412*'Deuda a emitir'!AD$13</f>
        <v>#DIV/0!</v>
      </c>
      <c r="N442" s="283" t="e">
        <f>N420*N412*'Deuda a emitir'!AE$13</f>
        <v>#DIV/0!</v>
      </c>
      <c r="O442" s="283" t="e">
        <f>O420*O412*'Deuda a emitir'!AF$13</f>
        <v>#DIV/0!</v>
      </c>
      <c r="P442" s="283" t="e">
        <f>P420*P412*'Deuda a emitir'!AG$13</f>
        <v>#DIV/0!</v>
      </c>
      <c r="Q442" s="667" t="e">
        <f>Q420*Q412*'Deuda a emitir'!AH$13</f>
        <v>#DIV/0!</v>
      </c>
      <c r="R442" s="283"/>
      <c r="S442" s="283"/>
      <c r="T442" s="182"/>
      <c r="U442" s="182"/>
      <c r="V442" s="182"/>
      <c r="W442" s="182"/>
      <c r="X442" s="182"/>
      <c r="Y442" s="182"/>
      <c r="Z442" s="182"/>
      <c r="AA442" s="182"/>
      <c r="AB442" s="182"/>
      <c r="AC442" s="182"/>
      <c r="AD442" s="182"/>
      <c r="AE442" s="182"/>
      <c r="AF442" s="182"/>
      <c r="AG442" s="182"/>
      <c r="AH442" s="182"/>
      <c r="AI442" s="182"/>
      <c r="AJ442" s="182"/>
      <c r="AK442" s="182"/>
      <c r="AL442" s="182"/>
      <c r="AM442" s="182"/>
      <c r="AN442" s="182"/>
      <c r="AO442" s="182"/>
      <c r="AP442" s="182"/>
      <c r="AQ442" s="182"/>
      <c r="AR442" s="182"/>
      <c r="AS442" s="182"/>
      <c r="AT442" s="182"/>
      <c r="AU442" s="182"/>
    </row>
    <row r="443" spans="3:47">
      <c r="C443" s="664">
        <v>18</v>
      </c>
      <c r="D443" s="283"/>
      <c r="E443" s="283"/>
      <c r="F443" s="283">
        <f>F420*F412*'Deuda a emitir'!X$13</f>
        <v>0</v>
      </c>
      <c r="G443" s="283" t="e">
        <f>G420*G412*'Deuda a emitir'!Y$13</f>
        <v>#DIV/0!</v>
      </c>
      <c r="H443" s="283" t="e">
        <f>H420*H412*'Deuda a emitir'!Z$13</f>
        <v>#DIV/0!</v>
      </c>
      <c r="I443" s="283" t="e">
        <f>I420*I412*'Deuda a emitir'!AA$13</f>
        <v>#DIV/0!</v>
      </c>
      <c r="J443" s="283" t="e">
        <f>J420*J412*'Deuda a emitir'!AB$13</f>
        <v>#DIV/0!</v>
      </c>
      <c r="K443" s="283" t="e">
        <f>K420*K412*'Deuda a emitir'!AC$13</f>
        <v>#DIV/0!</v>
      </c>
      <c r="L443" s="283" t="e">
        <f>L420*L412*'Deuda a emitir'!AD$13</f>
        <v>#DIV/0!</v>
      </c>
      <c r="M443" s="283" t="e">
        <f>M420*M412*'Deuda a emitir'!AE$13</f>
        <v>#DIV/0!</v>
      </c>
      <c r="N443" s="283" t="e">
        <f>N420*N412*'Deuda a emitir'!AF$13</f>
        <v>#DIV/0!</v>
      </c>
      <c r="O443" s="283" t="e">
        <f>O420*O412*'Deuda a emitir'!AG$13</f>
        <v>#DIV/0!</v>
      </c>
      <c r="P443" s="283" t="e">
        <f>P420*P412*'Deuda a emitir'!AH$13</f>
        <v>#DIV/0!</v>
      </c>
      <c r="Q443" s="667" t="e">
        <f>Q420*Q412*'Deuda a emitir'!AI$13</f>
        <v>#DIV/0!</v>
      </c>
      <c r="R443" s="283"/>
      <c r="S443" s="283"/>
      <c r="T443" s="182"/>
      <c r="U443" s="182"/>
      <c r="V443" s="182"/>
      <c r="W443" s="182"/>
      <c r="X443" s="182"/>
      <c r="Y443" s="182"/>
      <c r="Z443" s="182"/>
      <c r="AA443" s="182"/>
      <c r="AB443" s="182"/>
      <c r="AC443" s="182"/>
      <c r="AD443" s="182"/>
      <c r="AE443" s="182"/>
      <c r="AF443" s="182"/>
      <c r="AG443" s="182"/>
      <c r="AH443" s="182"/>
      <c r="AI443" s="182"/>
      <c r="AJ443" s="182"/>
      <c r="AK443" s="182"/>
      <c r="AL443" s="182"/>
      <c r="AM443" s="182"/>
      <c r="AN443" s="182"/>
      <c r="AO443" s="182"/>
      <c r="AP443" s="182"/>
      <c r="AQ443" s="182"/>
      <c r="AR443" s="182"/>
      <c r="AS443" s="182"/>
      <c r="AT443" s="182"/>
      <c r="AU443" s="182"/>
    </row>
    <row r="444" spans="3:47">
      <c r="C444" s="664">
        <v>19</v>
      </c>
      <c r="D444" s="283"/>
      <c r="E444" s="283"/>
      <c r="F444" s="283">
        <f>F420*F412*'Deuda a emitir'!Y$13</f>
        <v>0</v>
      </c>
      <c r="G444" s="283" t="e">
        <f>G420*G412*'Deuda a emitir'!Z$13</f>
        <v>#DIV/0!</v>
      </c>
      <c r="H444" s="283" t="e">
        <f>H420*H412*'Deuda a emitir'!AA$13</f>
        <v>#DIV/0!</v>
      </c>
      <c r="I444" s="283" t="e">
        <f>I420*I412*'Deuda a emitir'!AB$13</f>
        <v>#DIV/0!</v>
      </c>
      <c r="J444" s="283" t="e">
        <f>J420*J412*'Deuda a emitir'!AC$13</f>
        <v>#DIV/0!</v>
      </c>
      <c r="K444" s="283" t="e">
        <f>K420*K412*'Deuda a emitir'!AD$13</f>
        <v>#DIV/0!</v>
      </c>
      <c r="L444" s="283" t="e">
        <f>L420*L412*'Deuda a emitir'!AE$13</f>
        <v>#DIV/0!</v>
      </c>
      <c r="M444" s="283" t="e">
        <f>M420*M412*'Deuda a emitir'!AF$13</f>
        <v>#DIV/0!</v>
      </c>
      <c r="N444" s="283" t="e">
        <f>N420*N412*'Deuda a emitir'!AG$13</f>
        <v>#DIV/0!</v>
      </c>
      <c r="O444" s="283" t="e">
        <f>O420*O412*'Deuda a emitir'!AH$13</f>
        <v>#DIV/0!</v>
      </c>
      <c r="P444" s="283" t="e">
        <f>P420*P412*'Deuda a emitir'!AI$13</f>
        <v>#DIV/0!</v>
      </c>
      <c r="Q444" s="667" t="e">
        <f>Q420*Q412*'Deuda a emitir'!AJ$13</f>
        <v>#DIV/0!</v>
      </c>
      <c r="R444" s="283"/>
      <c r="S444" s="283"/>
      <c r="T444" s="182"/>
      <c r="U444" s="182"/>
      <c r="V444" s="182"/>
      <c r="W444" s="182"/>
      <c r="X444" s="182"/>
      <c r="Y444" s="182"/>
      <c r="Z444" s="182"/>
      <c r="AA444" s="182"/>
      <c r="AB444" s="182"/>
      <c r="AC444" s="182"/>
      <c r="AD444" s="182"/>
      <c r="AE444" s="182"/>
      <c r="AF444" s="182"/>
      <c r="AG444" s="182"/>
      <c r="AH444" s="182"/>
      <c r="AI444" s="182"/>
      <c r="AJ444" s="182"/>
      <c r="AK444" s="182"/>
      <c r="AL444" s="182"/>
      <c r="AM444" s="182"/>
      <c r="AN444" s="182"/>
      <c r="AO444" s="182"/>
      <c r="AP444" s="182"/>
      <c r="AQ444" s="182"/>
      <c r="AR444" s="182"/>
      <c r="AS444" s="182"/>
      <c r="AT444" s="182"/>
      <c r="AU444" s="182"/>
    </row>
    <row r="445" spans="3:47">
      <c r="C445" s="664">
        <v>20</v>
      </c>
      <c r="D445" s="283"/>
      <c r="E445" s="283"/>
      <c r="F445" s="283">
        <f>F420*F412*'Deuda a emitir'!Z$13</f>
        <v>0</v>
      </c>
      <c r="G445" s="283" t="e">
        <f>G420*G412*'Deuda a emitir'!AA$13</f>
        <v>#DIV/0!</v>
      </c>
      <c r="H445" s="283" t="e">
        <f>H420*H412*'Deuda a emitir'!AB$13</f>
        <v>#DIV/0!</v>
      </c>
      <c r="I445" s="283" t="e">
        <f>I420*I412*'Deuda a emitir'!AC$13</f>
        <v>#DIV/0!</v>
      </c>
      <c r="J445" s="283" t="e">
        <f>J420*J412*'Deuda a emitir'!AD$13</f>
        <v>#DIV/0!</v>
      </c>
      <c r="K445" s="283" t="e">
        <f>K420*K412*'Deuda a emitir'!AE$13</f>
        <v>#DIV/0!</v>
      </c>
      <c r="L445" s="283" t="e">
        <f>L420*L412*'Deuda a emitir'!AF$13</f>
        <v>#DIV/0!</v>
      </c>
      <c r="M445" s="283" t="e">
        <f>M420*M412*'Deuda a emitir'!AG$13</f>
        <v>#DIV/0!</v>
      </c>
      <c r="N445" s="283" t="e">
        <f>N420*N412*'Deuda a emitir'!AH$13</f>
        <v>#DIV/0!</v>
      </c>
      <c r="O445" s="283" t="e">
        <f>O420*O412*'Deuda a emitir'!AI$13</f>
        <v>#DIV/0!</v>
      </c>
      <c r="P445" s="283" t="e">
        <f>P420*P412*'Deuda a emitir'!AJ$13</f>
        <v>#DIV/0!</v>
      </c>
      <c r="Q445" s="667" t="e">
        <f>Q420*Q412*'Deuda a emitir'!AK$13</f>
        <v>#DIV/0!</v>
      </c>
      <c r="R445" s="283"/>
      <c r="S445" s="283"/>
      <c r="T445" s="182"/>
      <c r="U445" s="182"/>
      <c r="V445" s="182"/>
      <c r="W445" s="182"/>
      <c r="X445" s="182"/>
      <c r="Y445" s="182"/>
      <c r="Z445" s="182"/>
      <c r="AA445" s="182"/>
      <c r="AB445" s="182"/>
      <c r="AC445" s="182"/>
      <c r="AD445" s="182"/>
      <c r="AE445" s="182"/>
      <c r="AF445" s="182"/>
      <c r="AG445" s="182"/>
      <c r="AH445" s="182"/>
      <c r="AI445" s="182"/>
      <c r="AJ445" s="182"/>
      <c r="AK445" s="182"/>
      <c r="AL445" s="182"/>
      <c r="AM445" s="182"/>
      <c r="AN445" s="182"/>
      <c r="AO445" s="182"/>
      <c r="AP445" s="182"/>
      <c r="AQ445" s="182"/>
      <c r="AR445" s="182"/>
      <c r="AS445" s="182"/>
      <c r="AT445" s="182"/>
      <c r="AU445" s="182"/>
    </row>
    <row r="446" spans="3:47">
      <c r="C446" s="664">
        <v>21</v>
      </c>
      <c r="D446" s="283"/>
      <c r="E446" s="283"/>
      <c r="F446" s="283">
        <f>F420*F412*'Deuda a emitir'!AA$13</f>
        <v>0</v>
      </c>
      <c r="G446" s="283" t="e">
        <f>G420*G412*'Deuda a emitir'!AB$13</f>
        <v>#DIV/0!</v>
      </c>
      <c r="H446" s="283" t="e">
        <f>H420*H412*'Deuda a emitir'!AC$13</f>
        <v>#DIV/0!</v>
      </c>
      <c r="I446" s="283" t="e">
        <f>I420*I412*'Deuda a emitir'!AD$13</f>
        <v>#DIV/0!</v>
      </c>
      <c r="J446" s="283" t="e">
        <f>J420*J412*'Deuda a emitir'!AE$13</f>
        <v>#DIV/0!</v>
      </c>
      <c r="K446" s="283" t="e">
        <f>K420*K412*'Deuda a emitir'!AF$13</f>
        <v>#DIV/0!</v>
      </c>
      <c r="L446" s="283" t="e">
        <f>L420*L412*'Deuda a emitir'!AG$13</f>
        <v>#DIV/0!</v>
      </c>
      <c r="M446" s="283" t="e">
        <f>M420*M412*'Deuda a emitir'!AH$13</f>
        <v>#DIV/0!</v>
      </c>
      <c r="N446" s="283" t="e">
        <f>N420*N412*'Deuda a emitir'!AI$13</f>
        <v>#DIV/0!</v>
      </c>
      <c r="O446" s="283" t="e">
        <f>O420*O412*'Deuda a emitir'!AJ$13</f>
        <v>#DIV/0!</v>
      </c>
      <c r="P446" s="283" t="e">
        <f>P420*P412*'Deuda a emitir'!AK$13</f>
        <v>#DIV/0!</v>
      </c>
      <c r="Q446" s="667" t="e">
        <f>Q420*Q412*'Deuda a emitir'!AL$13</f>
        <v>#DIV/0!</v>
      </c>
      <c r="R446" s="283"/>
      <c r="S446" s="283"/>
      <c r="T446" s="182"/>
      <c r="U446" s="182"/>
      <c r="V446" s="182"/>
      <c r="W446" s="182"/>
      <c r="X446" s="182"/>
      <c r="Y446" s="182"/>
      <c r="Z446" s="182"/>
      <c r="AA446" s="182"/>
      <c r="AB446" s="182"/>
      <c r="AC446" s="182"/>
      <c r="AD446" s="182"/>
      <c r="AE446" s="182"/>
      <c r="AF446" s="182"/>
      <c r="AG446" s="182"/>
      <c r="AH446" s="182"/>
      <c r="AI446" s="182"/>
      <c r="AJ446" s="182"/>
      <c r="AK446" s="182"/>
      <c r="AL446" s="182"/>
      <c r="AM446" s="182"/>
      <c r="AN446" s="182"/>
      <c r="AO446" s="182"/>
      <c r="AP446" s="182"/>
      <c r="AQ446" s="182"/>
      <c r="AR446" s="182"/>
      <c r="AS446" s="182"/>
      <c r="AT446" s="182"/>
      <c r="AU446" s="182"/>
    </row>
    <row r="447" spans="3:47">
      <c r="C447" s="664">
        <v>22</v>
      </c>
      <c r="D447" s="283"/>
      <c r="E447" s="283"/>
      <c r="F447" s="283">
        <f>F420*F412*'Deuda a emitir'!AB$13</f>
        <v>0</v>
      </c>
      <c r="G447" s="283" t="e">
        <f>G420*G412*'Deuda a emitir'!AC$13</f>
        <v>#DIV/0!</v>
      </c>
      <c r="H447" s="283" t="e">
        <f>H420*H412*'Deuda a emitir'!AD$13</f>
        <v>#DIV/0!</v>
      </c>
      <c r="I447" s="283" t="e">
        <f>I420*I412*'Deuda a emitir'!AE$13</f>
        <v>#DIV/0!</v>
      </c>
      <c r="J447" s="283" t="e">
        <f>J420*J412*'Deuda a emitir'!AF$13</f>
        <v>#DIV/0!</v>
      </c>
      <c r="K447" s="283" t="e">
        <f>K420*K412*'Deuda a emitir'!AG$13</f>
        <v>#DIV/0!</v>
      </c>
      <c r="L447" s="283" t="e">
        <f>L420*L412*'Deuda a emitir'!AH$13</f>
        <v>#DIV/0!</v>
      </c>
      <c r="M447" s="283" t="e">
        <f>M420*M412*'Deuda a emitir'!AI$13</f>
        <v>#DIV/0!</v>
      </c>
      <c r="N447" s="283" t="e">
        <f>N420*N412*'Deuda a emitir'!AJ$13</f>
        <v>#DIV/0!</v>
      </c>
      <c r="O447" s="283" t="e">
        <f>O420*O412*'Deuda a emitir'!AK$13</f>
        <v>#DIV/0!</v>
      </c>
      <c r="P447" s="283" t="e">
        <f>P420*P412*'Deuda a emitir'!AL$13</f>
        <v>#DIV/0!</v>
      </c>
      <c r="Q447" s="667" t="e">
        <f>Q420*Q412*'Deuda a emitir'!AM$13</f>
        <v>#DIV/0!</v>
      </c>
      <c r="R447" s="283"/>
      <c r="S447" s="283"/>
      <c r="T447" s="182"/>
      <c r="U447" s="182"/>
      <c r="V447" s="182"/>
      <c r="W447" s="182"/>
      <c r="X447" s="182"/>
      <c r="Y447" s="182"/>
      <c r="Z447" s="182"/>
      <c r="AA447" s="182"/>
      <c r="AB447" s="182"/>
      <c r="AC447" s="182"/>
      <c r="AD447" s="182"/>
      <c r="AE447" s="182"/>
      <c r="AF447" s="182"/>
      <c r="AG447" s="182"/>
      <c r="AH447" s="182"/>
      <c r="AI447" s="182"/>
      <c r="AJ447" s="182"/>
      <c r="AK447" s="182"/>
      <c r="AL447" s="182"/>
      <c r="AM447" s="182"/>
      <c r="AN447" s="182"/>
      <c r="AO447" s="182"/>
      <c r="AP447" s="182"/>
      <c r="AQ447" s="182"/>
      <c r="AR447" s="182"/>
      <c r="AS447" s="182"/>
      <c r="AT447" s="182"/>
      <c r="AU447" s="182"/>
    </row>
    <row r="448" spans="3:47">
      <c r="C448" s="664">
        <v>23</v>
      </c>
      <c r="D448" s="283"/>
      <c r="E448" s="283"/>
      <c r="F448" s="283">
        <f>F420*F412*'Deuda a emitir'!AC$13</f>
        <v>0</v>
      </c>
      <c r="G448" s="283" t="e">
        <f>G420*G412*'Deuda a emitir'!AD$13</f>
        <v>#DIV/0!</v>
      </c>
      <c r="H448" s="283" t="e">
        <f>H420*H412*'Deuda a emitir'!AE$13</f>
        <v>#DIV/0!</v>
      </c>
      <c r="I448" s="283" t="e">
        <f>I420*I412*'Deuda a emitir'!AF$13</f>
        <v>#DIV/0!</v>
      </c>
      <c r="J448" s="283" t="e">
        <f>J420*J412*'Deuda a emitir'!AG$13</f>
        <v>#DIV/0!</v>
      </c>
      <c r="K448" s="283" t="e">
        <f>K420*K412*'Deuda a emitir'!AH$13</f>
        <v>#DIV/0!</v>
      </c>
      <c r="L448" s="283" t="e">
        <f>L420*L412*'Deuda a emitir'!AI$13</f>
        <v>#DIV/0!</v>
      </c>
      <c r="M448" s="283" t="e">
        <f>M420*M412*'Deuda a emitir'!AJ$13</f>
        <v>#DIV/0!</v>
      </c>
      <c r="N448" s="283" t="e">
        <f>N420*N412*'Deuda a emitir'!AK$13</f>
        <v>#DIV/0!</v>
      </c>
      <c r="O448" s="283" t="e">
        <f>O420*O412*'Deuda a emitir'!AL$13</f>
        <v>#DIV/0!</v>
      </c>
      <c r="P448" s="283" t="e">
        <f>P420*P412*'Deuda a emitir'!AM$13</f>
        <v>#DIV/0!</v>
      </c>
      <c r="Q448" s="667" t="e">
        <f>Q420*Q412*'Deuda a emitir'!AN$13</f>
        <v>#DIV/0!</v>
      </c>
      <c r="R448" s="283"/>
      <c r="S448" s="283"/>
      <c r="T448" s="182"/>
      <c r="U448" s="182"/>
      <c r="V448" s="182"/>
      <c r="W448" s="182"/>
      <c r="X448" s="182"/>
      <c r="Y448" s="182"/>
      <c r="Z448" s="182"/>
      <c r="AA448" s="182"/>
      <c r="AB448" s="182"/>
      <c r="AC448" s="182"/>
      <c r="AD448" s="182"/>
      <c r="AE448" s="182"/>
      <c r="AF448" s="182"/>
      <c r="AG448" s="182"/>
      <c r="AH448" s="182"/>
      <c r="AI448" s="182"/>
      <c r="AJ448" s="182"/>
      <c r="AK448" s="182"/>
      <c r="AL448" s="182"/>
      <c r="AM448" s="182"/>
      <c r="AN448" s="182"/>
      <c r="AO448" s="182"/>
      <c r="AP448" s="182"/>
      <c r="AQ448" s="182"/>
      <c r="AR448" s="182"/>
      <c r="AS448" s="182"/>
      <c r="AT448" s="182"/>
      <c r="AU448" s="182"/>
    </row>
    <row r="449" spans="3:52">
      <c r="C449" s="664">
        <v>24</v>
      </c>
      <c r="D449" s="283"/>
      <c r="E449" s="283"/>
      <c r="F449" s="283">
        <f>F420*F412*'Deuda a emitir'!AD$13</f>
        <v>0</v>
      </c>
      <c r="G449" s="283" t="e">
        <f>G420*G412*'Deuda a emitir'!AE$13</f>
        <v>#DIV/0!</v>
      </c>
      <c r="H449" s="283" t="e">
        <f>H420*H412*'Deuda a emitir'!AF$13</f>
        <v>#DIV/0!</v>
      </c>
      <c r="I449" s="283" t="e">
        <f>I420*I412*'Deuda a emitir'!AG$13</f>
        <v>#DIV/0!</v>
      </c>
      <c r="J449" s="283" t="e">
        <f>J420*J412*'Deuda a emitir'!AH$13</f>
        <v>#DIV/0!</v>
      </c>
      <c r="K449" s="283" t="e">
        <f>K420*K412*'Deuda a emitir'!AI$13</f>
        <v>#DIV/0!</v>
      </c>
      <c r="L449" s="283" t="e">
        <f>L420*L412*'Deuda a emitir'!AJ$13</f>
        <v>#DIV/0!</v>
      </c>
      <c r="M449" s="283" t="e">
        <f>M420*M412*'Deuda a emitir'!AK$13</f>
        <v>#DIV/0!</v>
      </c>
      <c r="N449" s="283" t="e">
        <f>N420*N412*'Deuda a emitir'!AL$13</f>
        <v>#DIV/0!</v>
      </c>
      <c r="O449" s="283" t="e">
        <f>O420*O412*'Deuda a emitir'!AM$13</f>
        <v>#DIV/0!</v>
      </c>
      <c r="P449" s="283" t="e">
        <f>P420*P412*'Deuda a emitir'!AN$13</f>
        <v>#DIV/0!</v>
      </c>
      <c r="Q449" s="667" t="e">
        <f>Q420*Q412*'Deuda a emitir'!AO$13</f>
        <v>#DIV/0!</v>
      </c>
      <c r="R449" s="283"/>
      <c r="S449" s="283"/>
      <c r="T449" s="182"/>
      <c r="U449" s="182"/>
      <c r="V449" s="182"/>
      <c r="W449" s="182"/>
      <c r="X449" s="182"/>
      <c r="Y449" s="182"/>
      <c r="Z449" s="182"/>
      <c r="AA449" s="182"/>
      <c r="AB449" s="182"/>
      <c r="AC449" s="182"/>
      <c r="AD449" s="182"/>
      <c r="AE449" s="182"/>
      <c r="AF449" s="182"/>
      <c r="AG449" s="182"/>
      <c r="AH449" s="182"/>
      <c r="AI449" s="182"/>
      <c r="AJ449" s="182"/>
      <c r="AK449" s="182"/>
      <c r="AL449" s="182"/>
      <c r="AM449" s="182"/>
      <c r="AN449" s="182"/>
      <c r="AO449" s="182"/>
      <c r="AP449" s="182"/>
      <c r="AQ449" s="182"/>
      <c r="AR449" s="182"/>
      <c r="AS449" s="182"/>
      <c r="AT449" s="182"/>
      <c r="AU449" s="182"/>
    </row>
    <row r="450" spans="3:52">
      <c r="C450" s="664">
        <v>25</v>
      </c>
      <c r="D450" s="283"/>
      <c r="E450" s="283"/>
      <c r="F450" s="283">
        <f>F420*F412*'Deuda a emitir'!AE$13</f>
        <v>0</v>
      </c>
      <c r="G450" s="283" t="e">
        <f>G420*G412*'Deuda a emitir'!AF$13</f>
        <v>#DIV/0!</v>
      </c>
      <c r="H450" s="283" t="e">
        <f>H420*H412*'Deuda a emitir'!AG$13</f>
        <v>#DIV/0!</v>
      </c>
      <c r="I450" s="283" t="e">
        <f>I420*I412*'Deuda a emitir'!AH$13</f>
        <v>#DIV/0!</v>
      </c>
      <c r="J450" s="283" t="e">
        <f>J420*J412*'Deuda a emitir'!AI$13</f>
        <v>#DIV/0!</v>
      </c>
      <c r="K450" s="283" t="e">
        <f>K420*K412*'Deuda a emitir'!AJ$13</f>
        <v>#DIV/0!</v>
      </c>
      <c r="L450" s="283" t="e">
        <f>L420*L412*'Deuda a emitir'!AK$13</f>
        <v>#DIV/0!</v>
      </c>
      <c r="M450" s="283" t="e">
        <f>M420*M412*'Deuda a emitir'!AL$13</f>
        <v>#DIV/0!</v>
      </c>
      <c r="N450" s="283" t="e">
        <f>N420*N412*'Deuda a emitir'!AM$13</f>
        <v>#DIV/0!</v>
      </c>
      <c r="O450" s="283" t="e">
        <f>O420*O412*'Deuda a emitir'!AN$13</f>
        <v>#DIV/0!</v>
      </c>
      <c r="P450" s="283" t="e">
        <f>P420*P412*'Deuda a emitir'!AO$13</f>
        <v>#DIV/0!</v>
      </c>
      <c r="Q450" s="667" t="e">
        <f>Q420*Q412*'Deuda a emitir'!AP$13</f>
        <v>#DIV/0!</v>
      </c>
      <c r="R450" s="283"/>
      <c r="S450" s="283"/>
      <c r="T450" s="182"/>
      <c r="U450" s="182"/>
      <c r="V450" s="182"/>
      <c r="W450" s="182"/>
      <c r="X450" s="182"/>
      <c r="Y450" s="182"/>
      <c r="Z450" s="182"/>
      <c r="AA450" s="182"/>
      <c r="AB450" s="182"/>
      <c r="AC450" s="182"/>
      <c r="AD450" s="182"/>
      <c r="AE450" s="182"/>
      <c r="AF450" s="182"/>
      <c r="AG450" s="182"/>
      <c r="AH450" s="182"/>
      <c r="AI450" s="182"/>
      <c r="AJ450" s="182"/>
      <c r="AK450" s="182"/>
      <c r="AL450" s="182"/>
      <c r="AM450" s="182"/>
      <c r="AN450" s="182"/>
      <c r="AO450" s="182"/>
      <c r="AP450" s="182"/>
      <c r="AQ450" s="182"/>
      <c r="AR450" s="182"/>
      <c r="AS450" s="182"/>
      <c r="AT450" s="182"/>
      <c r="AU450" s="182"/>
    </row>
    <row r="451" spans="3:52">
      <c r="C451" s="664">
        <v>26</v>
      </c>
      <c r="D451" s="283"/>
      <c r="E451" s="283"/>
      <c r="F451" s="283">
        <f>F420*F412*'Deuda a emitir'!AF$13</f>
        <v>0</v>
      </c>
      <c r="G451" s="283" t="e">
        <f>G420*G412*'Deuda a emitir'!AG$13</f>
        <v>#DIV/0!</v>
      </c>
      <c r="H451" s="283" t="e">
        <f>H420*H412*'Deuda a emitir'!AH$13</f>
        <v>#DIV/0!</v>
      </c>
      <c r="I451" s="283" t="e">
        <f>I420*I412*'Deuda a emitir'!AI$13</f>
        <v>#DIV/0!</v>
      </c>
      <c r="J451" s="283" t="e">
        <f>J420*J412*'Deuda a emitir'!AJ$13</f>
        <v>#DIV/0!</v>
      </c>
      <c r="K451" s="283" t="e">
        <f>K420*K412*'Deuda a emitir'!AK$13</f>
        <v>#DIV/0!</v>
      </c>
      <c r="L451" s="283" t="e">
        <f>L420*L412*'Deuda a emitir'!AL$13</f>
        <v>#DIV/0!</v>
      </c>
      <c r="M451" s="283" t="e">
        <f>M420*M412*'Deuda a emitir'!AM$13</f>
        <v>#DIV/0!</v>
      </c>
      <c r="N451" s="283" t="e">
        <f>N420*N412*'Deuda a emitir'!AN$13</f>
        <v>#DIV/0!</v>
      </c>
      <c r="O451" s="283" t="e">
        <f>O420*O412*'Deuda a emitir'!AO$13</f>
        <v>#DIV/0!</v>
      </c>
      <c r="P451" s="283" t="e">
        <f>P420*P412*'Deuda a emitir'!AP$13</f>
        <v>#DIV/0!</v>
      </c>
      <c r="Q451" s="667" t="e">
        <f>Q420*Q412*'Deuda a emitir'!AQ$13</f>
        <v>#DIV/0!</v>
      </c>
      <c r="R451" s="283"/>
      <c r="S451" s="283"/>
      <c r="T451" s="182"/>
      <c r="U451" s="182"/>
      <c r="V451" s="182"/>
      <c r="W451" s="182"/>
      <c r="X451" s="182"/>
      <c r="Y451" s="182"/>
      <c r="Z451" s="182"/>
      <c r="AA451" s="182"/>
      <c r="AB451" s="182"/>
      <c r="AC451" s="182"/>
      <c r="AD451" s="182"/>
      <c r="AE451" s="182"/>
      <c r="AF451" s="182"/>
      <c r="AG451" s="182"/>
      <c r="AH451" s="182"/>
      <c r="AI451" s="182"/>
      <c r="AJ451" s="182"/>
      <c r="AK451" s="182"/>
      <c r="AL451" s="182"/>
      <c r="AM451" s="182"/>
      <c r="AN451" s="182"/>
      <c r="AO451" s="182"/>
      <c r="AP451" s="182"/>
      <c r="AQ451" s="182"/>
      <c r="AR451" s="182"/>
      <c r="AS451" s="182"/>
      <c r="AT451" s="182"/>
      <c r="AU451" s="182"/>
    </row>
    <row r="452" spans="3:52">
      <c r="C452" s="664">
        <v>27</v>
      </c>
      <c r="D452" s="283"/>
      <c r="E452" s="283"/>
      <c r="F452" s="283">
        <f>F420*F412*'Deuda a emitir'!AG$13</f>
        <v>0</v>
      </c>
      <c r="G452" s="283" t="e">
        <f>G420*G412*'Deuda a emitir'!AH$13</f>
        <v>#DIV/0!</v>
      </c>
      <c r="H452" s="283" t="e">
        <f>H420*H412*'Deuda a emitir'!AI$13</f>
        <v>#DIV/0!</v>
      </c>
      <c r="I452" s="283" t="e">
        <f>I420*I412*'Deuda a emitir'!AJ$13</f>
        <v>#DIV/0!</v>
      </c>
      <c r="J452" s="283" t="e">
        <f>J420*J412*'Deuda a emitir'!AK$13</f>
        <v>#DIV/0!</v>
      </c>
      <c r="K452" s="283" t="e">
        <f>K420*K412*'Deuda a emitir'!AL$13</f>
        <v>#DIV/0!</v>
      </c>
      <c r="L452" s="283" t="e">
        <f>L420*L412*'Deuda a emitir'!AM$13</f>
        <v>#DIV/0!</v>
      </c>
      <c r="M452" s="283" t="e">
        <f>M420*M412*'Deuda a emitir'!AN$13</f>
        <v>#DIV/0!</v>
      </c>
      <c r="N452" s="283" t="e">
        <f>N420*N412*'Deuda a emitir'!AO$13</f>
        <v>#DIV/0!</v>
      </c>
      <c r="O452" s="283" t="e">
        <f>O420*O412*'Deuda a emitir'!AP$13</f>
        <v>#DIV/0!</v>
      </c>
      <c r="P452" s="283" t="e">
        <f>P420*P412*'Deuda a emitir'!AQ$13</f>
        <v>#DIV/0!</v>
      </c>
      <c r="Q452" s="667" t="e">
        <f>Q420*Q412*'Deuda a emitir'!AR$13</f>
        <v>#DIV/0!</v>
      </c>
      <c r="R452" s="283"/>
      <c r="S452" s="283"/>
      <c r="T452" s="182"/>
      <c r="U452" s="182"/>
      <c r="V452" s="182"/>
      <c r="W452" s="182"/>
      <c r="X452" s="182"/>
      <c r="Y452" s="182"/>
      <c r="Z452" s="182"/>
      <c r="AA452" s="182"/>
      <c r="AB452" s="182"/>
      <c r="AC452" s="182"/>
      <c r="AD452" s="182"/>
      <c r="AE452" s="182"/>
      <c r="AF452" s="182"/>
      <c r="AG452" s="182"/>
      <c r="AH452" s="182"/>
      <c r="AI452" s="182"/>
      <c r="AJ452" s="182"/>
      <c r="AK452" s="182"/>
      <c r="AL452" s="182"/>
      <c r="AM452" s="182"/>
      <c r="AN452" s="182"/>
      <c r="AO452" s="182"/>
      <c r="AP452" s="182"/>
      <c r="AQ452" s="182"/>
      <c r="AR452" s="182"/>
      <c r="AS452" s="182"/>
      <c r="AT452" s="182"/>
      <c r="AU452" s="182"/>
    </row>
    <row r="453" spans="3:52">
      <c r="C453" s="664">
        <v>28</v>
      </c>
      <c r="D453" s="283"/>
      <c r="E453" s="283"/>
      <c r="F453" s="283">
        <f>F420*F412*'Deuda a emitir'!AH$13</f>
        <v>0</v>
      </c>
      <c r="G453" s="283" t="e">
        <f>G420*G412*'Deuda a emitir'!AI$13</f>
        <v>#DIV/0!</v>
      </c>
      <c r="H453" s="283" t="e">
        <f>H420*H412*'Deuda a emitir'!AJ$13</f>
        <v>#DIV/0!</v>
      </c>
      <c r="I453" s="283" t="e">
        <f>I420*I412*'Deuda a emitir'!AK$13</f>
        <v>#DIV/0!</v>
      </c>
      <c r="J453" s="283" t="e">
        <f>J420*J412*'Deuda a emitir'!AL$13</f>
        <v>#DIV/0!</v>
      </c>
      <c r="K453" s="283" t="e">
        <f>K420*K412*'Deuda a emitir'!AM$13</f>
        <v>#DIV/0!</v>
      </c>
      <c r="L453" s="283" t="e">
        <f>L420*L412*'Deuda a emitir'!AN$13</f>
        <v>#DIV/0!</v>
      </c>
      <c r="M453" s="283" t="e">
        <f>M420*M412*'Deuda a emitir'!AO$13</f>
        <v>#DIV/0!</v>
      </c>
      <c r="N453" s="283" t="e">
        <f>N420*N412*'Deuda a emitir'!AP$13</f>
        <v>#DIV/0!</v>
      </c>
      <c r="O453" s="283" t="e">
        <f>O420*O412*'Deuda a emitir'!AQ$13</f>
        <v>#DIV/0!</v>
      </c>
      <c r="P453" s="283" t="e">
        <f>P420*P412*'Deuda a emitir'!AR$13</f>
        <v>#DIV/0!</v>
      </c>
      <c r="Q453" s="667" t="e">
        <f>Q420*Q412*'Deuda a emitir'!AS$13</f>
        <v>#DIV/0!</v>
      </c>
      <c r="R453" s="283"/>
      <c r="S453" s="283"/>
      <c r="T453" s="182"/>
      <c r="U453" s="182"/>
      <c r="V453" s="182"/>
      <c r="W453" s="182"/>
      <c r="X453" s="182"/>
      <c r="Y453" s="182"/>
      <c r="Z453" s="182"/>
      <c r="AA453" s="182"/>
      <c r="AB453" s="182"/>
      <c r="AC453" s="182"/>
      <c r="AD453" s="182"/>
      <c r="AE453" s="182"/>
      <c r="AF453" s="182"/>
      <c r="AG453" s="182"/>
      <c r="AH453" s="182"/>
      <c r="AI453" s="182"/>
      <c r="AJ453" s="182"/>
      <c r="AK453" s="182"/>
      <c r="AL453" s="182"/>
      <c r="AM453" s="182"/>
      <c r="AN453" s="182"/>
      <c r="AO453" s="182"/>
      <c r="AP453" s="182"/>
      <c r="AQ453" s="182"/>
      <c r="AR453" s="182"/>
      <c r="AS453" s="182"/>
      <c r="AT453" s="182"/>
      <c r="AU453" s="182"/>
    </row>
    <row r="454" spans="3:52">
      <c r="C454" s="664">
        <v>29</v>
      </c>
      <c r="D454" s="283"/>
      <c r="E454" s="283"/>
      <c r="F454" s="283">
        <f>F420*F412*'Deuda a emitir'!AI$13</f>
        <v>0</v>
      </c>
      <c r="G454" s="283" t="e">
        <f>G420*G412*'Deuda a emitir'!AJ$13</f>
        <v>#DIV/0!</v>
      </c>
      <c r="H454" s="283" t="e">
        <f>H420*H412*'Deuda a emitir'!AK$13</f>
        <v>#DIV/0!</v>
      </c>
      <c r="I454" s="283" t="e">
        <f>I420*I412*'Deuda a emitir'!AL$13</f>
        <v>#DIV/0!</v>
      </c>
      <c r="J454" s="283" t="e">
        <f>J420*J412*'Deuda a emitir'!AM$13</f>
        <v>#DIV/0!</v>
      </c>
      <c r="K454" s="283" t="e">
        <f>K420*K412*'Deuda a emitir'!AN$13</f>
        <v>#DIV/0!</v>
      </c>
      <c r="L454" s="283" t="e">
        <f>L420*L412*'Deuda a emitir'!AO$13</f>
        <v>#DIV/0!</v>
      </c>
      <c r="M454" s="283" t="e">
        <f>M420*M412*'Deuda a emitir'!AP$13</f>
        <v>#DIV/0!</v>
      </c>
      <c r="N454" s="283" t="e">
        <f>N420*N412*'Deuda a emitir'!AQ$13</f>
        <v>#DIV/0!</v>
      </c>
      <c r="O454" s="283" t="e">
        <f>O420*O412*'Deuda a emitir'!AR$13</f>
        <v>#DIV/0!</v>
      </c>
      <c r="P454" s="283" t="e">
        <f>P420*P412*'Deuda a emitir'!AS$13</f>
        <v>#DIV/0!</v>
      </c>
      <c r="Q454" s="667" t="e">
        <f>Q420*Q412*'Deuda a emitir'!AT$13</f>
        <v>#DIV/0!</v>
      </c>
      <c r="R454" s="283"/>
      <c r="S454" s="283"/>
      <c r="T454" s="182"/>
      <c r="U454" s="182"/>
      <c r="V454" s="182"/>
      <c r="W454" s="182"/>
      <c r="X454" s="182"/>
      <c r="Y454" s="182"/>
      <c r="Z454" s="182"/>
      <c r="AA454" s="182"/>
      <c r="AB454" s="182"/>
      <c r="AC454" s="182"/>
      <c r="AD454" s="182"/>
      <c r="AE454" s="182"/>
      <c r="AF454" s="182"/>
      <c r="AG454" s="182"/>
      <c r="AH454" s="182"/>
      <c r="AI454" s="182"/>
      <c r="AJ454" s="182"/>
      <c r="AK454" s="182"/>
      <c r="AL454" s="182"/>
      <c r="AM454" s="182"/>
      <c r="AN454" s="182"/>
      <c r="AO454" s="182"/>
      <c r="AP454" s="182"/>
      <c r="AQ454" s="182"/>
      <c r="AR454" s="182"/>
      <c r="AS454" s="182"/>
      <c r="AT454" s="182"/>
      <c r="AU454" s="182"/>
    </row>
    <row r="455" spans="3:52">
      <c r="C455" s="664">
        <v>30</v>
      </c>
      <c r="D455" s="283"/>
      <c r="E455" s="283"/>
      <c r="F455" s="283">
        <f>F420*F412*'Deuda a emitir'!AJ$13</f>
        <v>0</v>
      </c>
      <c r="G455" s="283" t="e">
        <f>G420*G412*'Deuda a emitir'!AK$13</f>
        <v>#DIV/0!</v>
      </c>
      <c r="H455" s="283" t="e">
        <f>H420*H412*'Deuda a emitir'!AL$13</f>
        <v>#DIV/0!</v>
      </c>
      <c r="I455" s="283" t="e">
        <f>I420*I412*'Deuda a emitir'!AM$13</f>
        <v>#DIV/0!</v>
      </c>
      <c r="J455" s="283" t="e">
        <f>J420*J412*'Deuda a emitir'!AN$13</f>
        <v>#DIV/0!</v>
      </c>
      <c r="K455" s="283" t="e">
        <f>K420*K412*'Deuda a emitir'!AO$13</f>
        <v>#DIV/0!</v>
      </c>
      <c r="L455" s="283" t="e">
        <f>L420*L412*'Deuda a emitir'!AP$13</f>
        <v>#DIV/0!</v>
      </c>
      <c r="M455" s="283" t="e">
        <f>M420*M412*'Deuda a emitir'!AQ$13</f>
        <v>#DIV/0!</v>
      </c>
      <c r="N455" s="283" t="e">
        <f>N420*N412*'Deuda a emitir'!AR$13</f>
        <v>#DIV/0!</v>
      </c>
      <c r="O455" s="283" t="e">
        <f>O420*O412*'Deuda a emitir'!AS$13</f>
        <v>#DIV/0!</v>
      </c>
      <c r="P455" s="283" t="e">
        <f>P420*P412*'Deuda a emitir'!AT$13</f>
        <v>#DIV/0!</v>
      </c>
      <c r="Q455" s="667" t="e">
        <f>Q420*Q412*'Deuda a emitir'!AU$13</f>
        <v>#DIV/0!</v>
      </c>
      <c r="R455" s="283"/>
      <c r="S455" s="283"/>
      <c r="T455" s="182"/>
      <c r="U455" s="182"/>
      <c r="V455" s="182"/>
      <c r="W455" s="182"/>
      <c r="X455" s="182"/>
      <c r="Y455" s="182"/>
      <c r="Z455" s="182"/>
      <c r="AA455" s="182"/>
      <c r="AB455" s="182"/>
      <c r="AC455" s="182"/>
      <c r="AD455" s="182"/>
      <c r="AE455" s="182"/>
      <c r="AF455" s="182"/>
      <c r="AG455" s="182"/>
      <c r="AH455" s="182"/>
      <c r="AI455" s="182"/>
      <c r="AJ455" s="182"/>
      <c r="AK455" s="182"/>
      <c r="AL455" s="182"/>
      <c r="AM455" s="182"/>
      <c r="AN455" s="182"/>
      <c r="AO455" s="182"/>
      <c r="AP455" s="182"/>
      <c r="AQ455" s="182"/>
      <c r="AR455" s="182"/>
      <c r="AS455" s="182"/>
      <c r="AT455" s="182"/>
      <c r="AU455" s="182"/>
    </row>
    <row r="456" spans="3:52">
      <c r="C456" s="664"/>
      <c r="D456" s="182"/>
      <c r="E456" s="182"/>
      <c r="F456" s="182"/>
      <c r="G456" s="182"/>
      <c r="H456" s="182"/>
      <c r="I456" s="182"/>
      <c r="J456" s="182"/>
      <c r="K456" s="182"/>
      <c r="L456" s="182"/>
      <c r="M456" s="182"/>
      <c r="N456" s="182"/>
      <c r="O456" s="182"/>
      <c r="P456" s="182"/>
      <c r="Q456" s="678"/>
      <c r="R456" s="182"/>
      <c r="S456" s="182"/>
      <c r="T456" s="182"/>
      <c r="U456" s="182"/>
      <c r="V456" s="182"/>
      <c r="W456" s="182"/>
      <c r="X456" s="182"/>
      <c r="Y456" s="182"/>
      <c r="Z456" s="182"/>
      <c r="AA456" s="182"/>
      <c r="AB456" s="182"/>
      <c r="AC456" s="182"/>
      <c r="AD456" s="182"/>
      <c r="AE456" s="182"/>
      <c r="AF456" s="182"/>
      <c r="AG456" s="182"/>
      <c r="AH456" s="182"/>
      <c r="AI456" s="182"/>
      <c r="AJ456" s="182"/>
      <c r="AK456" s="182"/>
      <c r="AL456" s="182"/>
      <c r="AM456" s="182"/>
      <c r="AN456" s="182"/>
      <c r="AO456" s="182"/>
      <c r="AP456" s="182"/>
      <c r="AQ456" s="182"/>
      <c r="AR456" s="182"/>
      <c r="AS456" s="182"/>
      <c r="AT456" s="182"/>
      <c r="AU456" s="182"/>
    </row>
    <row r="457" spans="3:52" ht="16">
      <c r="C457" s="664" t="s">
        <v>173</v>
      </c>
      <c r="D457" s="283"/>
      <c r="E457" s="283"/>
      <c r="F457" s="283">
        <f>E426+D427</f>
        <v>0</v>
      </c>
      <c r="G457" s="283">
        <f>F426+E427+D428</f>
        <v>0</v>
      </c>
      <c r="H457" s="283" t="e">
        <f>G426+F427+E428+D429</f>
        <v>#DIV/0!</v>
      </c>
      <c r="I457" s="283" t="e">
        <f>H426+G427+F428+E429+D430</f>
        <v>#DIV/0!</v>
      </c>
      <c r="J457" s="283" t="e">
        <f>I426+H427+G428+F429+E430+D431</f>
        <v>#DIV/0!</v>
      </c>
      <c r="K457" s="283" t="e">
        <f>J426+I427+H428+G429+F430+E431+D432</f>
        <v>#DIV/0!</v>
      </c>
      <c r="L457" s="283" t="e">
        <f>K426+J427+I428+H429+G430+F431+E432+D433</f>
        <v>#DIV/0!</v>
      </c>
      <c r="M457" s="283" t="e">
        <f>L426+K427+J428+I429+H430+G431+F432+E433+D434</f>
        <v>#DIV/0!</v>
      </c>
      <c r="N457" s="283" t="e">
        <f>M426+L427+K428+J429+I430+H431+G432+F433+E434+D435</f>
        <v>#DIV/0!</v>
      </c>
      <c r="O457" s="283" t="e">
        <f>N426+M427+L428+K429+J430+I431+H432+G433+F434+E435+D436</f>
        <v>#DIV/0!</v>
      </c>
      <c r="P457" s="283" t="e">
        <f>O426+N427+M428+L429+K430+J431+I432+H433+G434+F435+E436</f>
        <v>#DIV/0!</v>
      </c>
      <c r="Q457" s="667" t="e">
        <f>P426+O427+N428+M429+L430+K431+J432+I433+H434+G435+F436</f>
        <v>#DIV/0!</v>
      </c>
      <c r="R457" s="283"/>
      <c r="S457" s="283"/>
      <c r="T457" s="182"/>
      <c r="U457" s="182"/>
      <c r="V457" s="182"/>
      <c r="W457" s="182"/>
      <c r="X457" s="182"/>
      <c r="Y457" s="182"/>
      <c r="Z457" s="182"/>
      <c r="AA457" s="182"/>
      <c r="AB457" s="182"/>
      <c r="AC457" s="182"/>
      <c r="AD457" s="182"/>
      <c r="AE457" s="182"/>
      <c r="AF457" s="182"/>
      <c r="AG457" s="182"/>
      <c r="AH457" s="182"/>
      <c r="AI457" s="182"/>
      <c r="AJ457" s="182"/>
      <c r="AK457" s="182"/>
      <c r="AL457" s="182"/>
      <c r="AM457" s="182"/>
      <c r="AN457" s="182"/>
      <c r="AO457" s="182"/>
      <c r="AP457" s="182"/>
      <c r="AQ457" s="182"/>
      <c r="AR457" s="182"/>
      <c r="AS457" s="182"/>
      <c r="AT457" s="182"/>
      <c r="AU457" s="182"/>
    </row>
    <row r="458" spans="3:52" ht="16">
      <c r="C458" s="664" t="s">
        <v>174</v>
      </c>
      <c r="D458" s="283"/>
      <c r="E458" s="283"/>
      <c r="F458" s="283">
        <f t="shared" ref="F458:Q458" si="184">F425</f>
        <v>0</v>
      </c>
      <c r="G458" s="283">
        <f t="shared" si="184"/>
        <v>0</v>
      </c>
      <c r="H458" s="283">
        <f t="shared" si="184"/>
        <v>0</v>
      </c>
      <c r="I458" s="283">
        <f t="shared" si="184"/>
        <v>0</v>
      </c>
      <c r="J458" s="283">
        <f t="shared" si="184"/>
        <v>0</v>
      </c>
      <c r="K458" s="283">
        <f t="shared" si="184"/>
        <v>0</v>
      </c>
      <c r="L458" s="283">
        <f t="shared" si="184"/>
        <v>0</v>
      </c>
      <c r="M458" s="283">
        <f t="shared" si="184"/>
        <v>0</v>
      </c>
      <c r="N458" s="283">
        <f t="shared" si="184"/>
        <v>0</v>
      </c>
      <c r="O458" s="283">
        <f t="shared" si="184"/>
        <v>0</v>
      </c>
      <c r="P458" s="283">
        <f t="shared" si="184"/>
        <v>0</v>
      </c>
      <c r="Q458" s="667">
        <f t="shared" si="184"/>
        <v>0</v>
      </c>
      <c r="R458" s="283"/>
      <c r="S458" s="283"/>
      <c r="T458" s="182"/>
      <c r="U458" s="182"/>
      <c r="V458" s="182"/>
      <c r="W458" s="182"/>
      <c r="X458" s="182"/>
      <c r="Y458" s="182"/>
      <c r="Z458" s="182"/>
      <c r="AA458" s="182"/>
      <c r="AB458" s="182"/>
      <c r="AC458" s="182"/>
      <c r="AD458" s="182"/>
      <c r="AE458" s="182"/>
      <c r="AF458" s="182"/>
      <c r="AG458" s="182"/>
      <c r="AH458" s="182"/>
      <c r="AI458" s="182"/>
      <c r="AJ458" s="182"/>
      <c r="AK458" s="182"/>
      <c r="AL458" s="182"/>
      <c r="AM458" s="182"/>
      <c r="AN458" s="182"/>
      <c r="AO458" s="182"/>
      <c r="AP458" s="182"/>
      <c r="AQ458" s="182"/>
      <c r="AR458" s="182"/>
      <c r="AS458" s="182"/>
      <c r="AT458" s="182"/>
      <c r="AU458" s="182"/>
    </row>
    <row r="459" spans="3:52">
      <c r="C459" s="715"/>
      <c r="D459" s="715"/>
      <c r="E459" s="715"/>
      <c r="F459" s="715"/>
      <c r="G459" s="715"/>
      <c r="H459" s="715"/>
      <c r="I459" s="715"/>
      <c r="J459" s="715"/>
      <c r="K459" s="715"/>
      <c r="L459" s="715"/>
      <c r="M459" s="715"/>
      <c r="N459" s="715"/>
      <c r="O459" s="715"/>
      <c r="P459" s="715"/>
      <c r="Q459" s="715"/>
    </row>
    <row r="460" spans="3:52">
      <c r="C460" s="716"/>
      <c r="D460" s="716"/>
      <c r="E460" s="716"/>
      <c r="F460" s="716"/>
      <c r="G460" s="716"/>
      <c r="H460" s="716"/>
      <c r="I460" s="716"/>
      <c r="J460" s="716"/>
      <c r="K460" s="716"/>
      <c r="L460" s="716"/>
      <c r="M460" s="716"/>
      <c r="N460" s="716"/>
      <c r="O460" s="716"/>
      <c r="P460" s="716"/>
      <c r="Q460" s="716"/>
    </row>
    <row r="461" spans="3:52" ht="16">
      <c r="C461" s="679" t="s">
        <v>202</v>
      </c>
      <c r="D461" s="322">
        <v>2022</v>
      </c>
      <c r="E461" s="322">
        <v>2023</v>
      </c>
      <c r="F461" s="322">
        <v>2024</v>
      </c>
      <c r="G461" s="322">
        <v>2025</v>
      </c>
      <c r="H461" s="322">
        <v>2026</v>
      </c>
      <c r="I461" s="322">
        <v>2027</v>
      </c>
      <c r="J461" s="322">
        <v>2028</v>
      </c>
      <c r="K461" s="322">
        <v>2029</v>
      </c>
      <c r="L461" s="322">
        <v>2030</v>
      </c>
      <c r="M461" s="322">
        <v>2031</v>
      </c>
      <c r="N461" s="322">
        <v>2032</v>
      </c>
      <c r="O461" s="322">
        <v>2033</v>
      </c>
      <c r="P461" s="322">
        <v>2034</v>
      </c>
      <c r="Q461" s="680">
        <v>2035</v>
      </c>
      <c r="R461" s="322">
        <v>2036</v>
      </c>
      <c r="S461" s="322">
        <v>2037</v>
      </c>
      <c r="T461" s="322">
        <v>2038</v>
      </c>
      <c r="U461" s="322">
        <v>2039</v>
      </c>
      <c r="V461" s="322">
        <v>2040</v>
      </c>
      <c r="W461" s="322">
        <v>2041</v>
      </c>
      <c r="X461" s="322">
        <v>2042</v>
      </c>
      <c r="Y461" s="322">
        <v>2043</v>
      </c>
      <c r="Z461" s="322">
        <v>2044</v>
      </c>
      <c r="AA461" s="322">
        <v>2045</v>
      </c>
      <c r="AB461" s="322">
        <v>2046</v>
      </c>
      <c r="AC461" s="322">
        <v>2047</v>
      </c>
      <c r="AD461" s="322">
        <v>2048</v>
      </c>
      <c r="AE461" s="322">
        <v>2049</v>
      </c>
      <c r="AF461" s="322">
        <v>2050</v>
      </c>
      <c r="AG461" s="322">
        <v>2051</v>
      </c>
      <c r="AH461" s="322">
        <v>2052</v>
      </c>
      <c r="AI461" s="322">
        <v>2053</v>
      </c>
      <c r="AJ461" s="322">
        <v>2054</v>
      </c>
      <c r="AK461" s="322">
        <v>2055</v>
      </c>
      <c r="AL461" s="322">
        <v>2056</v>
      </c>
      <c r="AM461" s="322">
        <v>2057</v>
      </c>
      <c r="AN461" s="322">
        <v>2058</v>
      </c>
      <c r="AO461" s="322">
        <v>2059</v>
      </c>
      <c r="AP461" s="322">
        <v>2060</v>
      </c>
      <c r="AQ461" s="322">
        <v>2061</v>
      </c>
      <c r="AR461" s="322">
        <v>2062</v>
      </c>
      <c r="AS461" s="322">
        <v>2063</v>
      </c>
      <c r="AT461" s="322">
        <v>2064</v>
      </c>
      <c r="AU461" s="322">
        <v>2065</v>
      </c>
      <c r="AV461" s="322">
        <v>2066</v>
      </c>
      <c r="AW461" s="322">
        <v>2067</v>
      </c>
      <c r="AX461" s="322">
        <v>2068</v>
      </c>
      <c r="AY461" s="322">
        <v>2069</v>
      </c>
      <c r="AZ461" s="322">
        <v>2070</v>
      </c>
    </row>
    <row r="462" spans="3:52" ht="16">
      <c r="C462" s="664" t="s">
        <v>203</v>
      </c>
      <c r="D462" s="283"/>
      <c r="E462" s="283">
        <f>'Deuda a emitir'!E16</f>
        <v>4330.1400000000003</v>
      </c>
      <c r="F462" s="283">
        <f>'Deuda a emitir'!F16</f>
        <v>0</v>
      </c>
      <c r="G462" s="283">
        <f>'Deuda a emitir'!G16</f>
        <v>0</v>
      </c>
      <c r="H462" s="283">
        <f>'Deuda a emitir'!H16</f>
        <v>0</v>
      </c>
      <c r="I462" s="283">
        <f>'Deuda a emitir'!I16</f>
        <v>0</v>
      </c>
      <c r="J462" s="283">
        <f>'Deuda a emitir'!J16</f>
        <v>0</v>
      </c>
      <c r="K462" s="283">
        <f>'Deuda a emitir'!K16</f>
        <v>0</v>
      </c>
      <c r="L462" s="283">
        <f>'Deuda a emitir'!L16</f>
        <v>0</v>
      </c>
      <c r="M462" s="283">
        <f>'Deuda a emitir'!M16</f>
        <v>0</v>
      </c>
      <c r="N462" s="283">
        <f>'Deuda a emitir'!N16</f>
        <v>0</v>
      </c>
      <c r="O462" s="283">
        <f>'Deuda a emitir'!O16</f>
        <v>0</v>
      </c>
      <c r="P462" s="283">
        <f>'Deuda a emitir'!P16</f>
        <v>0</v>
      </c>
      <c r="Q462" s="667">
        <f>'Deuda a emitir'!Q16</f>
        <v>0</v>
      </c>
      <c r="R462" s="283">
        <f>'Deuda a emitir'!R16</f>
        <v>0</v>
      </c>
      <c r="S462" s="283">
        <f>'Deuda a emitir'!S16</f>
        <v>0</v>
      </c>
      <c r="T462" s="283">
        <f>'Deuda a emitir'!T16</f>
        <v>0</v>
      </c>
      <c r="U462" s="283">
        <f>'Deuda a emitir'!U16</f>
        <v>0</v>
      </c>
      <c r="V462" s="283">
        <f>'Deuda a emitir'!V16</f>
        <v>0</v>
      </c>
      <c r="W462" s="283">
        <f>'Deuda a emitir'!W16</f>
        <v>0</v>
      </c>
      <c r="X462" s="283">
        <f>'Deuda a emitir'!X16</f>
        <v>0</v>
      </c>
      <c r="Y462" s="283">
        <f>'Deuda a emitir'!Y16</f>
        <v>0</v>
      </c>
      <c r="Z462" s="283">
        <f>'Deuda a emitir'!Z16</f>
        <v>0</v>
      </c>
      <c r="AA462" s="283">
        <f>'Deuda a emitir'!AA16</f>
        <v>0</v>
      </c>
      <c r="AB462" s="283">
        <f>'Deuda a emitir'!AB16</f>
        <v>0</v>
      </c>
      <c r="AC462" s="283">
        <f>'Deuda a emitir'!AC16</f>
        <v>0</v>
      </c>
      <c r="AD462" s="283">
        <f>'Deuda a emitir'!AD16</f>
        <v>0</v>
      </c>
      <c r="AE462" s="283">
        <f>'Deuda a emitir'!AE16</f>
        <v>0</v>
      </c>
      <c r="AF462" s="283">
        <f>'Deuda a emitir'!AF16</f>
        <v>0</v>
      </c>
      <c r="AG462" s="283">
        <f>'Deuda a emitir'!AG16</f>
        <v>0</v>
      </c>
      <c r="AH462" s="283">
        <f>'Deuda a emitir'!AH16</f>
        <v>0</v>
      </c>
      <c r="AI462" s="283">
        <f>'Deuda a emitir'!AI16</f>
        <v>0</v>
      </c>
      <c r="AJ462" s="283">
        <f>'Deuda a emitir'!AJ16</f>
        <v>0</v>
      </c>
      <c r="AK462" s="283">
        <f>'Deuda a emitir'!AK16</f>
        <v>0</v>
      </c>
      <c r="AL462" s="283">
        <f>'Deuda a emitir'!AL16</f>
        <v>0</v>
      </c>
      <c r="AM462" s="283">
        <f>'Deuda a emitir'!AM16</f>
        <v>0</v>
      </c>
      <c r="AN462" s="283">
        <f>'Deuda a emitir'!AN16</f>
        <v>0</v>
      </c>
      <c r="AO462" s="283">
        <f>'Deuda a emitir'!AO16</f>
        <v>0</v>
      </c>
      <c r="AP462" s="283">
        <f>'Deuda a emitir'!AP16</f>
        <v>0</v>
      </c>
      <c r="AQ462" s="283">
        <f>'Deuda a emitir'!AQ16</f>
        <v>0</v>
      </c>
      <c r="AR462" s="283">
        <f>'Deuda a emitir'!AR16</f>
        <v>0</v>
      </c>
      <c r="AS462" s="283">
        <f>'Deuda a emitir'!AS16</f>
        <v>0</v>
      </c>
      <c r="AT462" s="283">
        <f>'Deuda a emitir'!AT16</f>
        <v>0</v>
      </c>
      <c r="AU462" s="283">
        <f>'Deuda a emitir'!AU16</f>
        <v>0</v>
      </c>
      <c r="AV462" s="283">
        <f>'Deuda a emitir'!AV16</f>
        <v>0</v>
      </c>
      <c r="AW462" s="283">
        <f>'Deuda a emitir'!AW16</f>
        <v>0</v>
      </c>
      <c r="AX462" s="283">
        <f>'Deuda a emitir'!AX16</f>
        <v>0</v>
      </c>
      <c r="AY462" s="283">
        <f>'Deuda a emitir'!AY16</f>
        <v>0</v>
      </c>
      <c r="AZ462" s="283">
        <f>'Deuda a emitir'!AZ16</f>
        <v>0</v>
      </c>
    </row>
    <row r="463" spans="3:52" ht="32">
      <c r="C463" s="664" t="s">
        <v>204</v>
      </c>
      <c r="D463" s="283"/>
      <c r="E463" s="283"/>
      <c r="F463" s="283">
        <f>'Deuda a emitir'!F$143*'Deuda a emitir'!F68</f>
        <v>0</v>
      </c>
      <c r="G463" s="283" t="e">
        <f>'Deuda a emitir'!G$143*'Deuda a emitir'!G68</f>
        <v>#DIV/0!</v>
      </c>
      <c r="H463" s="283" t="e">
        <f>'Deuda a emitir'!H$143*'Deuda a emitir'!H68</f>
        <v>#DIV/0!</v>
      </c>
      <c r="I463" s="283" t="e">
        <f>'Deuda a emitir'!I$143*'Deuda a emitir'!I68</f>
        <v>#DIV/0!</v>
      </c>
      <c r="J463" s="283" t="e">
        <f>'Deuda a emitir'!J$143*'Deuda a emitir'!J68</f>
        <v>#DIV/0!</v>
      </c>
      <c r="K463" s="283" t="e">
        <f>'Deuda a emitir'!K$143*'Deuda a emitir'!K68</f>
        <v>#DIV/0!</v>
      </c>
      <c r="L463" s="283" t="e">
        <f>'Deuda a emitir'!L$143*'Deuda a emitir'!L68</f>
        <v>#DIV/0!</v>
      </c>
      <c r="M463" s="283" t="e">
        <f>'Deuda a emitir'!M$143*'Deuda a emitir'!M68</f>
        <v>#DIV/0!</v>
      </c>
      <c r="N463" s="283" t="e">
        <f>'Deuda a emitir'!N$143*'Deuda a emitir'!N68</f>
        <v>#DIV/0!</v>
      </c>
      <c r="O463" s="283" t="e">
        <f>'Deuda a emitir'!O$143*'Deuda a emitir'!O68</f>
        <v>#DIV/0!</v>
      </c>
      <c r="P463" s="283" t="e">
        <f>'Deuda a emitir'!P$143*'Deuda a emitir'!P68</f>
        <v>#DIV/0!</v>
      </c>
      <c r="Q463" s="667" t="e">
        <f>'Deuda a emitir'!Q$143*'Deuda a emitir'!Q68</f>
        <v>#DIV/0!</v>
      </c>
      <c r="R463" s="283"/>
      <c r="S463" s="283"/>
      <c r="T463" s="182"/>
      <c r="U463" s="182"/>
      <c r="V463" s="182"/>
      <c r="W463" s="182"/>
      <c r="X463" s="182"/>
      <c r="Y463" s="182"/>
      <c r="Z463" s="182"/>
      <c r="AA463" s="182"/>
      <c r="AB463" s="182"/>
      <c r="AC463" s="182"/>
      <c r="AD463" s="182"/>
      <c r="AE463" s="182"/>
      <c r="AF463" s="182"/>
      <c r="AG463" s="182"/>
      <c r="AH463" s="182"/>
      <c r="AI463" s="182"/>
      <c r="AJ463" s="182"/>
      <c r="AK463" s="182"/>
      <c r="AL463" s="182"/>
      <c r="AM463" s="182"/>
      <c r="AN463" s="182"/>
      <c r="AO463" s="182"/>
      <c r="AP463" s="182"/>
      <c r="AQ463" s="182"/>
      <c r="AR463" s="182"/>
      <c r="AS463" s="182"/>
      <c r="AT463" s="182"/>
      <c r="AU463" s="182"/>
      <c r="AV463" s="182"/>
      <c r="AW463" s="182"/>
      <c r="AX463" s="182"/>
      <c r="AY463" s="182"/>
      <c r="AZ463" s="182"/>
    </row>
    <row r="464" spans="3:52" ht="32">
      <c r="C464" s="664" t="s">
        <v>171</v>
      </c>
      <c r="D464" s="313"/>
      <c r="E464" s="313"/>
      <c r="F464" s="313">
        <f>'Deuda a emitir'!F$155*'Deuda a emitir'!F68</f>
        <v>0</v>
      </c>
      <c r="G464" s="313">
        <f>'Deuda a emitir'!G$155*'Deuda a emitir'!G68</f>
        <v>0</v>
      </c>
      <c r="H464" s="313">
        <f>'Deuda a emitir'!H$155*'Deuda a emitir'!H68</f>
        <v>0</v>
      </c>
      <c r="I464" s="313">
        <f>'Deuda a emitir'!I$155*'Deuda a emitir'!I68</f>
        <v>0</v>
      </c>
      <c r="J464" s="313">
        <f>'Deuda a emitir'!J$155*'Deuda a emitir'!J68</f>
        <v>0</v>
      </c>
      <c r="K464" s="313">
        <f>'Deuda a emitir'!K$155*'Deuda a emitir'!K68</f>
        <v>0</v>
      </c>
      <c r="L464" s="313">
        <f>'Deuda a emitir'!L$155*'Deuda a emitir'!L68</f>
        <v>0</v>
      </c>
      <c r="M464" s="313">
        <f>'Deuda a emitir'!M$155*'Deuda a emitir'!M68</f>
        <v>0</v>
      </c>
      <c r="N464" s="313">
        <f>'Deuda a emitir'!N$155*'Deuda a emitir'!N68</f>
        <v>0</v>
      </c>
      <c r="O464" s="313">
        <f>'Deuda a emitir'!O$155*'Deuda a emitir'!O68</f>
        <v>0</v>
      </c>
      <c r="P464" s="313">
        <f>'Deuda a emitir'!P$155*'Deuda a emitir'!P68</f>
        <v>0</v>
      </c>
      <c r="Q464" s="683">
        <f>'Deuda a emitir'!Q$155*'Deuda a emitir'!Q68</f>
        <v>0</v>
      </c>
      <c r="R464" s="283"/>
      <c r="S464" s="283"/>
      <c r="T464" s="182"/>
      <c r="U464" s="182"/>
      <c r="V464" s="182"/>
      <c r="W464" s="182"/>
      <c r="X464" s="182"/>
      <c r="Y464" s="182"/>
      <c r="Z464" s="182"/>
      <c r="AA464" s="182"/>
      <c r="AB464" s="182"/>
      <c r="AC464" s="182"/>
      <c r="AD464" s="182"/>
      <c r="AE464" s="182"/>
      <c r="AF464" s="182"/>
      <c r="AG464" s="182"/>
      <c r="AH464" s="182"/>
      <c r="AI464" s="182"/>
      <c r="AJ464" s="182"/>
      <c r="AK464" s="182"/>
      <c r="AL464" s="182"/>
      <c r="AM464" s="182"/>
      <c r="AN464" s="182"/>
      <c r="AO464" s="182"/>
      <c r="AP464" s="182"/>
      <c r="AQ464" s="182"/>
      <c r="AR464" s="182"/>
      <c r="AS464" s="182"/>
      <c r="AT464" s="182"/>
      <c r="AU464" s="182"/>
      <c r="AV464" s="182"/>
      <c r="AW464" s="182"/>
      <c r="AX464" s="182"/>
      <c r="AY464" s="182"/>
      <c r="AZ464" s="182"/>
    </row>
    <row r="465" spans="3:52" ht="16">
      <c r="C465" s="668" t="s">
        <v>172</v>
      </c>
      <c r="D465" s="288"/>
      <c r="E465" s="288"/>
      <c r="F465" s="288">
        <f t="shared" ref="F465:Q465" si="185">+(F463+F464)</f>
        <v>0</v>
      </c>
      <c r="G465" s="288" t="e">
        <f t="shared" si="185"/>
        <v>#DIV/0!</v>
      </c>
      <c r="H465" s="288" t="e">
        <f t="shared" si="185"/>
        <v>#DIV/0!</v>
      </c>
      <c r="I465" s="288" t="e">
        <f t="shared" si="185"/>
        <v>#DIV/0!</v>
      </c>
      <c r="J465" s="288" t="e">
        <f t="shared" si="185"/>
        <v>#DIV/0!</v>
      </c>
      <c r="K465" s="288" t="e">
        <f t="shared" si="185"/>
        <v>#DIV/0!</v>
      </c>
      <c r="L465" s="288" t="e">
        <f t="shared" si="185"/>
        <v>#DIV/0!</v>
      </c>
      <c r="M465" s="288" t="e">
        <f t="shared" si="185"/>
        <v>#DIV/0!</v>
      </c>
      <c r="N465" s="288" t="e">
        <f t="shared" si="185"/>
        <v>#DIV/0!</v>
      </c>
      <c r="O465" s="288" t="e">
        <f t="shared" si="185"/>
        <v>#DIV/0!</v>
      </c>
      <c r="P465" s="288" t="e">
        <f t="shared" si="185"/>
        <v>#DIV/0!</v>
      </c>
      <c r="Q465" s="685" t="e">
        <f t="shared" si="185"/>
        <v>#DIV/0!</v>
      </c>
      <c r="R465" s="37"/>
      <c r="S465" s="37"/>
      <c r="T465" s="244"/>
      <c r="U465" s="244"/>
      <c r="V465" s="244"/>
      <c r="W465" s="244"/>
      <c r="X465" s="244"/>
      <c r="Y465" s="244"/>
      <c r="Z465" s="244"/>
      <c r="AA465" s="244"/>
      <c r="AB465" s="244"/>
      <c r="AC465" s="244"/>
      <c r="AD465" s="244"/>
      <c r="AE465" s="244"/>
      <c r="AF465" s="244"/>
      <c r="AG465" s="244"/>
      <c r="AH465" s="244"/>
      <c r="AI465" s="244"/>
      <c r="AJ465" s="244"/>
      <c r="AK465" s="244"/>
      <c r="AL465" s="244"/>
      <c r="AM465" s="244"/>
      <c r="AN465" s="244"/>
      <c r="AO465" s="244"/>
      <c r="AP465" s="244"/>
      <c r="AQ465" s="244"/>
      <c r="AR465" s="244"/>
      <c r="AS465" s="244"/>
      <c r="AT465" s="244"/>
      <c r="AU465" s="244"/>
      <c r="AV465" s="244"/>
      <c r="AW465" s="244"/>
      <c r="AX465" s="244"/>
      <c r="AY465" s="244"/>
      <c r="AZ465" s="244"/>
    </row>
    <row r="466" spans="3:52" ht="16">
      <c r="C466" s="686" t="s">
        <v>205</v>
      </c>
      <c r="D466" s="687"/>
      <c r="E466" s="688"/>
      <c r="F466" s="688" t="e">
        <f t="shared" ref="F466:Q468" si="186">F463/F$462</f>
        <v>#DIV/0!</v>
      </c>
      <c r="G466" s="688" t="e">
        <f t="shared" si="186"/>
        <v>#DIV/0!</v>
      </c>
      <c r="H466" s="688" t="e">
        <f t="shared" si="186"/>
        <v>#DIV/0!</v>
      </c>
      <c r="I466" s="688" t="e">
        <f t="shared" si="186"/>
        <v>#DIV/0!</v>
      </c>
      <c r="J466" s="688" t="e">
        <f t="shared" si="186"/>
        <v>#DIV/0!</v>
      </c>
      <c r="K466" s="688" t="e">
        <f t="shared" si="186"/>
        <v>#DIV/0!</v>
      </c>
      <c r="L466" s="688" t="e">
        <f t="shared" si="186"/>
        <v>#DIV/0!</v>
      </c>
      <c r="M466" s="688" t="e">
        <f t="shared" si="186"/>
        <v>#DIV/0!</v>
      </c>
      <c r="N466" s="688" t="e">
        <f t="shared" si="186"/>
        <v>#DIV/0!</v>
      </c>
      <c r="O466" s="688" t="e">
        <f t="shared" si="186"/>
        <v>#DIV/0!</v>
      </c>
      <c r="P466" s="688" t="e">
        <f t="shared" si="186"/>
        <v>#DIV/0!</v>
      </c>
      <c r="Q466" s="689" t="e">
        <f t="shared" si="186"/>
        <v>#DIV/0!</v>
      </c>
      <c r="R466" s="332"/>
      <c r="S466" s="332"/>
      <c r="T466" s="333"/>
      <c r="U466" s="333"/>
      <c r="V466" s="333"/>
      <c r="W466" s="333"/>
      <c r="X466" s="333"/>
      <c r="Y466" s="333"/>
      <c r="Z466" s="333"/>
      <c r="AA466" s="333"/>
      <c r="AB466" s="333"/>
      <c r="AC466" s="333"/>
      <c r="AD466" s="333"/>
      <c r="AE466" s="333"/>
      <c r="AF466" s="333"/>
      <c r="AG466" s="333"/>
      <c r="AH466" s="333"/>
      <c r="AI466" s="333"/>
      <c r="AJ466" s="333"/>
      <c r="AK466" s="333"/>
      <c r="AL466" s="333"/>
      <c r="AM466" s="333"/>
      <c r="AN466" s="333"/>
      <c r="AO466" s="333"/>
      <c r="AP466" s="333"/>
      <c r="AQ466" s="333"/>
      <c r="AR466" s="333"/>
      <c r="AS466" s="333"/>
      <c r="AT466" s="333"/>
      <c r="AU466" s="333"/>
      <c r="AV466" s="333"/>
      <c r="AW466" s="333"/>
      <c r="AX466" s="333"/>
      <c r="AY466" s="333"/>
      <c r="AZ466" s="333"/>
    </row>
    <row r="467" spans="3:52" ht="32">
      <c r="C467" s="686" t="s">
        <v>206</v>
      </c>
      <c r="D467" s="687"/>
      <c r="E467" s="688"/>
      <c r="F467" s="688" t="e">
        <f t="shared" si="186"/>
        <v>#DIV/0!</v>
      </c>
      <c r="G467" s="688" t="e">
        <f t="shared" si="186"/>
        <v>#DIV/0!</v>
      </c>
      <c r="H467" s="688" t="e">
        <f t="shared" si="186"/>
        <v>#DIV/0!</v>
      </c>
      <c r="I467" s="688" t="e">
        <f t="shared" si="186"/>
        <v>#DIV/0!</v>
      </c>
      <c r="J467" s="688" t="e">
        <f t="shared" si="186"/>
        <v>#DIV/0!</v>
      </c>
      <c r="K467" s="688" t="e">
        <f t="shared" si="186"/>
        <v>#DIV/0!</v>
      </c>
      <c r="L467" s="688" t="e">
        <f t="shared" si="186"/>
        <v>#DIV/0!</v>
      </c>
      <c r="M467" s="688" t="e">
        <f t="shared" si="186"/>
        <v>#DIV/0!</v>
      </c>
      <c r="N467" s="688" t="e">
        <f t="shared" si="186"/>
        <v>#DIV/0!</v>
      </c>
      <c r="O467" s="688" t="e">
        <f t="shared" si="186"/>
        <v>#DIV/0!</v>
      </c>
      <c r="P467" s="688" t="e">
        <f t="shared" si="186"/>
        <v>#DIV/0!</v>
      </c>
      <c r="Q467" s="689" t="e">
        <f t="shared" si="186"/>
        <v>#DIV/0!</v>
      </c>
      <c r="R467" s="332"/>
      <c r="S467" s="332"/>
      <c r="T467" s="333"/>
      <c r="U467" s="333"/>
      <c r="V467" s="333"/>
      <c r="W467" s="333"/>
      <c r="X467" s="333"/>
      <c r="Y467" s="333"/>
      <c r="Z467" s="333"/>
      <c r="AA467" s="333"/>
      <c r="AB467" s="333"/>
      <c r="AC467" s="333"/>
      <c r="AD467" s="333"/>
      <c r="AE467" s="333"/>
      <c r="AF467" s="333"/>
      <c r="AG467" s="333"/>
      <c r="AH467" s="333"/>
      <c r="AI467" s="333"/>
      <c r="AJ467" s="333"/>
      <c r="AK467" s="333"/>
      <c r="AL467" s="333"/>
      <c r="AM467" s="333"/>
      <c r="AN467" s="333"/>
      <c r="AO467" s="333"/>
      <c r="AP467" s="333"/>
      <c r="AQ467" s="333"/>
      <c r="AR467" s="333"/>
      <c r="AS467" s="333"/>
      <c r="AT467" s="333"/>
      <c r="AU467" s="333"/>
      <c r="AV467" s="333"/>
      <c r="AW467" s="333"/>
      <c r="AX467" s="333"/>
      <c r="AY467" s="333"/>
      <c r="AZ467" s="333"/>
    </row>
    <row r="468" spans="3:52" ht="16">
      <c r="C468" s="690" t="s">
        <v>207</v>
      </c>
      <c r="D468" s="691"/>
      <c r="E468" s="692"/>
      <c r="F468" s="692" t="e">
        <f t="shared" si="186"/>
        <v>#DIV/0!</v>
      </c>
      <c r="G468" s="692" t="e">
        <f t="shared" si="186"/>
        <v>#DIV/0!</v>
      </c>
      <c r="H468" s="692" t="e">
        <f t="shared" si="186"/>
        <v>#DIV/0!</v>
      </c>
      <c r="I468" s="692" t="e">
        <f t="shared" si="186"/>
        <v>#DIV/0!</v>
      </c>
      <c r="J468" s="692" t="e">
        <f t="shared" si="186"/>
        <v>#DIV/0!</v>
      </c>
      <c r="K468" s="692" t="e">
        <f t="shared" si="186"/>
        <v>#DIV/0!</v>
      </c>
      <c r="L468" s="692" t="e">
        <f t="shared" si="186"/>
        <v>#DIV/0!</v>
      </c>
      <c r="M468" s="692" t="e">
        <f t="shared" si="186"/>
        <v>#DIV/0!</v>
      </c>
      <c r="N468" s="692" t="e">
        <f t="shared" si="186"/>
        <v>#DIV/0!</v>
      </c>
      <c r="O468" s="692" t="e">
        <f t="shared" si="186"/>
        <v>#DIV/0!</v>
      </c>
      <c r="P468" s="692" t="e">
        <f t="shared" si="186"/>
        <v>#DIV/0!</v>
      </c>
      <c r="Q468" s="693" t="e">
        <f t="shared" si="186"/>
        <v>#DIV/0!</v>
      </c>
      <c r="R468" s="334"/>
      <c r="S468" s="334"/>
      <c r="T468" s="335"/>
      <c r="U468" s="335"/>
      <c r="V468" s="335"/>
      <c r="W468" s="335"/>
      <c r="X468" s="335"/>
      <c r="Y468" s="335"/>
      <c r="Z468" s="335"/>
      <c r="AA468" s="335"/>
      <c r="AB468" s="335"/>
      <c r="AC468" s="335"/>
      <c r="AD468" s="335"/>
      <c r="AE468" s="335"/>
      <c r="AF468" s="335"/>
      <c r="AG468" s="335"/>
      <c r="AH468" s="335"/>
      <c r="AI468" s="335"/>
      <c r="AJ468" s="335"/>
      <c r="AK468" s="335"/>
      <c r="AL468" s="335"/>
      <c r="AM468" s="335"/>
      <c r="AN468" s="335"/>
      <c r="AO468" s="335"/>
      <c r="AP468" s="335"/>
      <c r="AQ468" s="335"/>
      <c r="AR468" s="335"/>
      <c r="AS468" s="335"/>
      <c r="AT468" s="335"/>
      <c r="AU468" s="335"/>
      <c r="AV468" s="335"/>
      <c r="AW468" s="335"/>
      <c r="AX468" s="335"/>
      <c r="AY468" s="335"/>
      <c r="AZ468" s="335"/>
    </row>
    <row r="469" spans="3:52">
      <c r="C469" s="694"/>
      <c r="D469" s="695"/>
      <c r="E469" s="695"/>
      <c r="F469" s="695"/>
      <c r="G469" s="695"/>
      <c r="H469" s="695"/>
      <c r="I469" s="695"/>
      <c r="J469" s="695"/>
      <c r="K469" s="695"/>
      <c r="L469" s="695"/>
      <c r="M469" s="695"/>
      <c r="N469" s="695"/>
      <c r="O469" s="695"/>
      <c r="P469" s="695"/>
      <c r="Q469" s="696"/>
      <c r="R469" s="283"/>
      <c r="S469" s="283"/>
      <c r="T469" s="182"/>
      <c r="U469" s="182"/>
      <c r="V469" s="182"/>
      <c r="W469" s="182"/>
      <c r="X469" s="182"/>
      <c r="Y469" s="182"/>
      <c r="Z469" s="182"/>
      <c r="AA469" s="182"/>
      <c r="AB469" s="182"/>
      <c r="AC469" s="182"/>
      <c r="AD469" s="182"/>
      <c r="AE469" s="182"/>
      <c r="AF469" s="182"/>
      <c r="AG469" s="182"/>
      <c r="AH469" s="182"/>
      <c r="AI469" s="182"/>
      <c r="AJ469" s="182"/>
      <c r="AK469" s="182"/>
      <c r="AL469" s="182"/>
      <c r="AM469" s="182"/>
      <c r="AN469" s="182"/>
      <c r="AO469" s="182"/>
      <c r="AP469" s="182"/>
      <c r="AQ469" s="182"/>
      <c r="AR469" s="182"/>
      <c r="AS469" s="182"/>
      <c r="AT469" s="182"/>
      <c r="AU469" s="182"/>
      <c r="AV469" s="182"/>
      <c r="AW469" s="182"/>
      <c r="AX469" s="182"/>
      <c r="AY469" s="182"/>
      <c r="AZ469" s="182"/>
    </row>
    <row r="470" spans="3:52" ht="16">
      <c r="C470" s="664" t="s">
        <v>208</v>
      </c>
      <c r="D470" s="324"/>
      <c r="E470" s="324"/>
      <c r="F470" s="324">
        <f t="shared" ref="F470:Q470" si="187">-SUM(F498,F528,F577)</f>
        <v>0</v>
      </c>
      <c r="G470" s="324" t="e">
        <f>-SUM(G498,G528,G577)</f>
        <v>#DIV/0!</v>
      </c>
      <c r="H470" s="324" t="e">
        <f t="shared" si="187"/>
        <v>#DIV/0!</v>
      </c>
      <c r="I470" s="324" t="e">
        <f t="shared" si="187"/>
        <v>#DIV/0!</v>
      </c>
      <c r="J470" s="324" t="e">
        <f t="shared" si="187"/>
        <v>#DIV/0!</v>
      </c>
      <c r="K470" s="324" t="e">
        <f t="shared" si="187"/>
        <v>#DIV/0!</v>
      </c>
      <c r="L470" s="324" t="e">
        <f t="shared" si="187"/>
        <v>#DIV/0!</v>
      </c>
      <c r="M470" s="324" t="e">
        <f t="shared" si="187"/>
        <v>#DIV/0!</v>
      </c>
      <c r="N470" s="324" t="e">
        <f t="shared" si="187"/>
        <v>#DIV/0!</v>
      </c>
      <c r="O470" s="324" t="e">
        <f t="shared" si="187"/>
        <v>#DIV/0!</v>
      </c>
      <c r="P470" s="324" t="e">
        <f t="shared" si="187"/>
        <v>#DIV/0!</v>
      </c>
      <c r="Q470" s="677" t="e">
        <f t="shared" si="187"/>
        <v>#DIV/0!</v>
      </c>
      <c r="R470" s="283"/>
      <c r="S470" s="283"/>
      <c r="T470" s="182"/>
      <c r="U470" s="182"/>
      <c r="V470" s="182"/>
      <c r="W470" s="182"/>
      <c r="X470" s="182"/>
      <c r="Y470" s="182"/>
      <c r="Z470" s="182"/>
      <c r="AA470" s="182"/>
      <c r="AB470" s="182"/>
      <c r="AC470" s="182"/>
      <c r="AD470" s="182"/>
      <c r="AE470" s="182"/>
      <c r="AF470" s="182"/>
      <c r="AG470" s="182"/>
      <c r="AH470" s="182"/>
      <c r="AI470" s="182"/>
      <c r="AJ470" s="182"/>
      <c r="AK470" s="182"/>
      <c r="AL470" s="182"/>
      <c r="AM470" s="182"/>
      <c r="AN470" s="182"/>
      <c r="AO470" s="182"/>
      <c r="AP470" s="182"/>
      <c r="AQ470" s="182"/>
      <c r="AR470" s="182"/>
      <c r="AS470" s="182"/>
      <c r="AT470" s="182"/>
      <c r="AU470" s="182"/>
      <c r="AV470" s="182"/>
      <c r="AW470" s="182"/>
      <c r="AX470" s="182"/>
      <c r="AY470" s="182"/>
      <c r="AZ470" s="182"/>
    </row>
    <row r="471" spans="3:52" ht="16">
      <c r="C471" s="686" t="s">
        <v>209</v>
      </c>
      <c r="D471" s="687"/>
      <c r="E471" s="688"/>
      <c r="F471" s="688" t="e">
        <f t="shared" ref="F471:Q471" si="188">F470/F462</f>
        <v>#DIV/0!</v>
      </c>
      <c r="G471" s="688" t="e">
        <f t="shared" si="188"/>
        <v>#DIV/0!</v>
      </c>
      <c r="H471" s="688" t="e">
        <f t="shared" si="188"/>
        <v>#DIV/0!</v>
      </c>
      <c r="I471" s="688" t="e">
        <f t="shared" si="188"/>
        <v>#DIV/0!</v>
      </c>
      <c r="J471" s="688" t="e">
        <f t="shared" si="188"/>
        <v>#DIV/0!</v>
      </c>
      <c r="K471" s="688" t="e">
        <f t="shared" si="188"/>
        <v>#DIV/0!</v>
      </c>
      <c r="L471" s="688" t="e">
        <f t="shared" si="188"/>
        <v>#DIV/0!</v>
      </c>
      <c r="M471" s="688" t="e">
        <f t="shared" si="188"/>
        <v>#DIV/0!</v>
      </c>
      <c r="N471" s="688" t="e">
        <f t="shared" si="188"/>
        <v>#DIV/0!</v>
      </c>
      <c r="O471" s="688" t="e">
        <f t="shared" si="188"/>
        <v>#DIV/0!</v>
      </c>
      <c r="P471" s="688" t="e">
        <f t="shared" si="188"/>
        <v>#DIV/0!</v>
      </c>
      <c r="Q471" s="689" t="e">
        <f t="shared" si="188"/>
        <v>#DIV/0!</v>
      </c>
      <c r="R471" s="332"/>
      <c r="S471" s="332"/>
      <c r="T471" s="333"/>
      <c r="U471" s="333"/>
      <c r="V471" s="333"/>
      <c r="W471" s="333"/>
      <c r="X471" s="333"/>
      <c r="Y471" s="333"/>
      <c r="Z471" s="333"/>
      <c r="AA471" s="333"/>
      <c r="AB471" s="333"/>
      <c r="AC471" s="333"/>
      <c r="AD471" s="333"/>
      <c r="AE471" s="333"/>
      <c r="AF471" s="333"/>
      <c r="AG471" s="333"/>
      <c r="AH471" s="333"/>
      <c r="AI471" s="333"/>
      <c r="AJ471" s="333"/>
      <c r="AK471" s="333"/>
      <c r="AL471" s="333"/>
      <c r="AM471" s="333"/>
      <c r="AN471" s="333"/>
      <c r="AO471" s="333"/>
      <c r="AP471" s="333"/>
      <c r="AQ471" s="333"/>
      <c r="AR471" s="333"/>
      <c r="AS471" s="333"/>
      <c r="AT471" s="333"/>
      <c r="AU471" s="333"/>
      <c r="AV471" s="333"/>
      <c r="AW471" s="333"/>
      <c r="AX471" s="333"/>
      <c r="AY471" s="333"/>
      <c r="AZ471" s="333"/>
    </row>
    <row r="472" spans="3:52">
      <c r="C472" s="697"/>
      <c r="D472" s="324"/>
      <c r="E472" s="324"/>
      <c r="F472" s="324"/>
      <c r="G472" s="324"/>
      <c r="H472" s="324"/>
      <c r="I472" s="324"/>
      <c r="J472" s="324"/>
      <c r="K472" s="324"/>
      <c r="L472" s="324"/>
      <c r="M472" s="324"/>
      <c r="N472" s="324"/>
      <c r="O472" s="324"/>
      <c r="P472" s="324"/>
      <c r="Q472" s="677"/>
      <c r="R472" s="283"/>
      <c r="S472" s="283"/>
      <c r="T472" s="182"/>
      <c r="U472" s="182"/>
      <c r="V472" s="182"/>
      <c r="W472" s="182"/>
      <c r="X472" s="182"/>
      <c r="Y472" s="182"/>
      <c r="Z472" s="182"/>
      <c r="AA472" s="182"/>
      <c r="AB472" s="182"/>
      <c r="AC472" s="182"/>
      <c r="AD472" s="182"/>
      <c r="AE472" s="182"/>
      <c r="AF472" s="182"/>
      <c r="AG472" s="182"/>
      <c r="AH472" s="182"/>
      <c r="AI472" s="182"/>
      <c r="AJ472" s="182"/>
      <c r="AK472" s="182"/>
      <c r="AL472" s="182"/>
      <c r="AM472" s="182"/>
      <c r="AN472" s="182"/>
      <c r="AO472" s="182"/>
      <c r="AP472" s="182"/>
      <c r="AQ472" s="182"/>
      <c r="AR472" s="182"/>
      <c r="AS472" s="182"/>
      <c r="AT472" s="182"/>
      <c r="AU472" s="182"/>
      <c r="AV472" s="182"/>
      <c r="AW472" s="182"/>
      <c r="AX472" s="182"/>
      <c r="AY472" s="182"/>
      <c r="AZ472" s="182"/>
    </row>
    <row r="473" spans="3:52" ht="16">
      <c r="C473" s="686" t="s">
        <v>210</v>
      </c>
      <c r="D473" s="687"/>
      <c r="E473" s="688"/>
      <c r="F473" s="688">
        <f>SUMIF($C$481:E$481,"="&amp;F461,$C$486:E$486)+SUMIF($C$506:E$506,"="&amp;F461,$C$511:E$511)+SUMIF($C$535:E$535,"="&amp;F461,$C$540:E$540)</f>
        <v>0</v>
      </c>
      <c r="G473" s="688">
        <f>SUMIF($C$481:F$481,"="&amp;G461,$C$486:F$486)+SUMIF($C$506:F$506,"="&amp;G461,$C$511:F$511)+SUMIF($C$535:F$535,"="&amp;G461,$C$540:F$540)</f>
        <v>0</v>
      </c>
      <c r="H473" s="688">
        <f>SUMIF($C$481:G$481,"="&amp;H461,$C$486:G$486)+SUMIF($C$506:G$506,"="&amp;H461,$C$511:G$511)+SUMIF($C$535:G$535,"="&amp;H461,$C$540:G$540)</f>
        <v>0</v>
      </c>
      <c r="I473" s="688">
        <f>SUMIF($C$481:H$481,"="&amp;I461,$C$486:H$486)+SUMIF($C$506:H$506,"="&amp;I461,$C$511:H$511)+SUMIF($C$535:H$535,"="&amp;I461,$C$540:H$540)</f>
        <v>0</v>
      </c>
      <c r="J473" s="688">
        <f>SUMIF($C$481:I$481,"="&amp;J461,$C$486:I$486)+SUMIF($C$506:I$506,"="&amp;J461,$C$511:I$511)+SUMIF($C$535:I$535,"="&amp;J461,$C$540:I$540)</f>
        <v>0</v>
      </c>
      <c r="K473" s="688" t="e">
        <f>SUMIF($C$481:J$481,"="&amp;K461,$C$486:J$486)+SUMIF($C$506:J$506,"="&amp;K461,$C$511:J$511)+SUMIF($C$535:J$535,"="&amp;K461,$C$540:J$540)</f>
        <v>#DIV/0!</v>
      </c>
      <c r="L473" s="688" t="e">
        <f>SUMIF($C$481:K$481,"="&amp;L461,$C$486:K$486)+SUMIF($C$506:K$506,"="&amp;L461,$C$511:K$511)+SUMIF($C$535:K$535,"="&amp;L461,$C$540:K$540)</f>
        <v>#DIV/0!</v>
      </c>
      <c r="M473" s="688" t="e">
        <f>SUMIF($C$481:L$481,"="&amp;M461,$C$486:L$486)+SUMIF($C$506:L$506,"="&amp;M461,$C$511:L$511)+SUMIF($C$535:L$535,"="&amp;M461,$C$540:L$540)</f>
        <v>#DIV/0!</v>
      </c>
      <c r="N473" s="688" t="e">
        <f>SUMIF($C$481:M$481,"="&amp;N461,$C$486:M$486)+SUMIF($C$506:M$506,"="&amp;N461,$C$511:M$511)+SUMIF($C$535:M$535,"="&amp;N461,$C$540:M$540)</f>
        <v>#DIV/0!</v>
      </c>
      <c r="O473" s="688" t="e">
        <f>SUMIF($C$481:N$481,"="&amp;O461,$C$486:N$486)+SUMIF($C$506:N$506,"="&amp;O461,$C$511:N$511)+SUMIF($C$535:N$535,"="&amp;O461,$C$540:N$540)</f>
        <v>#DIV/0!</v>
      </c>
      <c r="P473" s="688" t="e">
        <f>SUMIF($C$481:O$481,"="&amp;P461,$C$486:O$486)+SUMIF($C$506:O$506,"="&amp;P461,$C$511:O$511)+SUMIF($C$535:O$535,"="&amp;P461,$C$540:O$540)</f>
        <v>#DIV/0!</v>
      </c>
      <c r="Q473" s="689" t="e">
        <f>SUMIF($C$481:P$481,"="&amp;Q461,$C$486:P$486)+SUMIF($C$506:P$506,"="&amp;Q461,$C$511:P$511)+SUMIF($C$535:P$535,"="&amp;Q461,$C$540:P$540)</f>
        <v>#DIV/0!</v>
      </c>
      <c r="R473" s="332"/>
      <c r="S473" s="332"/>
      <c r="T473" s="333"/>
      <c r="U473" s="333"/>
      <c r="V473" s="333"/>
      <c r="W473" s="333"/>
      <c r="X473" s="333"/>
      <c r="Y473" s="333"/>
      <c r="Z473" s="333"/>
      <c r="AA473" s="333"/>
      <c r="AB473" s="333"/>
      <c r="AC473" s="333"/>
      <c r="AD473" s="333"/>
      <c r="AE473" s="333"/>
      <c r="AF473" s="333"/>
      <c r="AG473" s="333"/>
      <c r="AH473" s="333"/>
      <c r="AI473" s="333"/>
      <c r="AJ473" s="333"/>
      <c r="AK473" s="333"/>
      <c r="AL473" s="333"/>
      <c r="AM473" s="333"/>
      <c r="AN473" s="333"/>
      <c r="AO473" s="333"/>
      <c r="AP473" s="333"/>
      <c r="AQ473" s="333"/>
      <c r="AR473" s="333"/>
      <c r="AS473" s="333"/>
      <c r="AT473" s="333"/>
      <c r="AU473" s="333"/>
      <c r="AV473" s="333"/>
      <c r="AW473" s="333"/>
      <c r="AX473" s="333"/>
      <c r="AY473" s="333"/>
      <c r="AZ473" s="333"/>
    </row>
    <row r="474" spans="3:52" ht="16">
      <c r="C474" s="664" t="s">
        <v>175</v>
      </c>
      <c r="D474" s="324"/>
      <c r="E474" s="324"/>
      <c r="F474" s="324">
        <f t="shared" ref="F474:Q474" si="189">F473*F462</f>
        <v>0</v>
      </c>
      <c r="G474" s="324">
        <f t="shared" si="189"/>
        <v>0</v>
      </c>
      <c r="H474" s="324">
        <f t="shared" si="189"/>
        <v>0</v>
      </c>
      <c r="I474" s="324">
        <f t="shared" si="189"/>
        <v>0</v>
      </c>
      <c r="J474" s="324">
        <f t="shared" si="189"/>
        <v>0</v>
      </c>
      <c r="K474" s="324" t="e">
        <f t="shared" si="189"/>
        <v>#DIV/0!</v>
      </c>
      <c r="L474" s="324" t="e">
        <f t="shared" si="189"/>
        <v>#DIV/0!</v>
      </c>
      <c r="M474" s="324" t="e">
        <f t="shared" si="189"/>
        <v>#DIV/0!</v>
      </c>
      <c r="N474" s="324" t="e">
        <f t="shared" si="189"/>
        <v>#DIV/0!</v>
      </c>
      <c r="O474" s="324" t="e">
        <f t="shared" si="189"/>
        <v>#DIV/0!</v>
      </c>
      <c r="P474" s="324" t="e">
        <f t="shared" si="189"/>
        <v>#DIV/0!</v>
      </c>
      <c r="Q474" s="677" t="e">
        <f t="shared" si="189"/>
        <v>#DIV/0!</v>
      </c>
      <c r="R474" s="324"/>
      <c r="S474" s="283"/>
      <c r="T474" s="182"/>
      <c r="U474" s="182"/>
      <c r="V474" s="182"/>
      <c r="W474" s="182"/>
      <c r="X474" s="182"/>
      <c r="Y474" s="182"/>
      <c r="Z474" s="182"/>
      <c r="AA474" s="182"/>
      <c r="AB474" s="182"/>
      <c r="AC474" s="182"/>
      <c r="AD474" s="182"/>
      <c r="AE474" s="182"/>
      <c r="AF474" s="182"/>
      <c r="AG474" s="182"/>
      <c r="AH474" s="182"/>
      <c r="AI474" s="182"/>
      <c r="AJ474" s="182"/>
      <c r="AK474" s="182"/>
      <c r="AL474" s="182"/>
      <c r="AM474" s="182"/>
      <c r="AN474" s="182"/>
      <c r="AO474" s="182"/>
      <c r="AP474" s="182"/>
      <c r="AQ474" s="182"/>
      <c r="AR474" s="182"/>
      <c r="AS474" s="182"/>
      <c r="AT474" s="182"/>
      <c r="AU474" s="182"/>
      <c r="AV474" s="182"/>
      <c r="AW474" s="182"/>
      <c r="AX474" s="182"/>
      <c r="AY474" s="182"/>
      <c r="AZ474" s="182"/>
    </row>
    <row r="475" spans="3:52" ht="16">
      <c r="C475" s="664" t="s">
        <v>211</v>
      </c>
      <c r="D475" s="324"/>
      <c r="E475" s="324"/>
      <c r="F475" s="324" t="e">
        <f t="shared" ref="F475:Q475" si="190">SUM(F489,F514,F543)*0</f>
        <v>#DIV/0!</v>
      </c>
      <c r="G475" s="324" t="e">
        <f t="shared" si="190"/>
        <v>#DIV/0!</v>
      </c>
      <c r="H475" s="324" t="e">
        <f t="shared" si="190"/>
        <v>#DIV/0!</v>
      </c>
      <c r="I475" s="324" t="e">
        <f t="shared" si="190"/>
        <v>#DIV/0!</v>
      </c>
      <c r="J475" s="324" t="e">
        <f t="shared" si="190"/>
        <v>#DIV/0!</v>
      </c>
      <c r="K475" s="324" t="e">
        <f t="shared" si="190"/>
        <v>#DIV/0!</v>
      </c>
      <c r="L475" s="324" t="e">
        <f t="shared" si="190"/>
        <v>#DIV/0!</v>
      </c>
      <c r="M475" s="324" t="e">
        <f t="shared" si="190"/>
        <v>#DIV/0!</v>
      </c>
      <c r="N475" s="324" t="e">
        <f t="shared" si="190"/>
        <v>#DIV/0!</v>
      </c>
      <c r="O475" s="324" t="e">
        <f t="shared" si="190"/>
        <v>#DIV/0!</v>
      </c>
      <c r="P475" s="324" t="e">
        <f t="shared" si="190"/>
        <v>#DIV/0!</v>
      </c>
      <c r="Q475" s="677" t="e">
        <f t="shared" si="190"/>
        <v>#DIV/0!</v>
      </c>
      <c r="R475" s="283"/>
      <c r="S475" s="283"/>
      <c r="T475" s="182"/>
      <c r="U475" s="182"/>
      <c r="V475" s="182"/>
      <c r="W475" s="182"/>
      <c r="X475" s="182"/>
      <c r="Y475" s="182"/>
      <c r="Z475" s="182"/>
      <c r="AA475" s="182"/>
      <c r="AB475" s="182"/>
      <c r="AC475" s="182"/>
      <c r="AD475" s="182"/>
      <c r="AE475" s="182"/>
      <c r="AF475" s="182"/>
      <c r="AG475" s="182"/>
      <c r="AH475" s="182"/>
      <c r="AI475" s="182"/>
      <c r="AJ475" s="182"/>
      <c r="AK475" s="182"/>
      <c r="AL475" s="182"/>
      <c r="AM475" s="182"/>
      <c r="AN475" s="182"/>
      <c r="AO475" s="182"/>
      <c r="AP475" s="182"/>
      <c r="AQ475" s="182"/>
      <c r="AR475" s="182"/>
      <c r="AS475" s="182"/>
      <c r="AT475" s="182"/>
      <c r="AU475" s="182"/>
      <c r="AV475" s="182"/>
      <c r="AW475" s="182"/>
      <c r="AX475" s="182"/>
      <c r="AY475" s="182"/>
      <c r="AZ475" s="182"/>
    </row>
    <row r="476" spans="3:52">
      <c r="C476" s="664"/>
      <c r="D476" s="182"/>
      <c r="E476" s="182"/>
      <c r="F476" s="182"/>
      <c r="G476" s="182"/>
      <c r="H476" s="182"/>
      <c r="I476" s="182"/>
      <c r="J476" s="182"/>
      <c r="K476" s="182"/>
      <c r="L476" s="182"/>
      <c r="M476" s="182"/>
      <c r="N476" s="182"/>
      <c r="O476" s="182"/>
      <c r="P476" s="182"/>
      <c r="Q476" s="678"/>
      <c r="R476" s="182"/>
      <c r="S476" s="182"/>
      <c r="T476" s="182"/>
      <c r="U476" s="182"/>
      <c r="V476" s="182"/>
      <c r="W476" s="182"/>
      <c r="X476" s="182"/>
      <c r="Y476" s="182"/>
      <c r="Z476" s="182"/>
      <c r="AA476" s="182"/>
      <c r="AB476" s="182"/>
      <c r="AC476" s="182"/>
      <c r="AD476" s="182"/>
      <c r="AE476" s="182"/>
      <c r="AF476" s="182"/>
      <c r="AG476" s="182"/>
      <c r="AH476" s="182"/>
      <c r="AI476" s="182"/>
      <c r="AJ476" s="182"/>
      <c r="AK476" s="182"/>
      <c r="AL476" s="182"/>
      <c r="AM476" s="182"/>
      <c r="AN476" s="182"/>
      <c r="AO476" s="182"/>
      <c r="AP476" s="182"/>
      <c r="AQ476" s="182"/>
      <c r="AR476" s="182"/>
      <c r="AS476" s="182"/>
      <c r="AT476" s="182"/>
      <c r="AU476" s="182"/>
      <c r="AV476" s="182"/>
      <c r="AW476" s="182"/>
      <c r="AX476" s="182"/>
      <c r="AY476" s="182"/>
      <c r="AZ476" s="182"/>
    </row>
    <row r="477" spans="3:52">
      <c r="C477" s="679">
        <v>5</v>
      </c>
      <c r="D477" s="322">
        <v>2022</v>
      </c>
      <c r="E477" s="322">
        <v>2023</v>
      </c>
      <c r="F477" s="322">
        <v>2024</v>
      </c>
      <c r="G477" s="322">
        <v>2025</v>
      </c>
      <c r="H477" s="322">
        <v>2026</v>
      </c>
      <c r="I477" s="322">
        <v>2027</v>
      </c>
      <c r="J477" s="322">
        <v>2028</v>
      </c>
      <c r="K477" s="322">
        <v>2029</v>
      </c>
      <c r="L477" s="322">
        <v>2030</v>
      </c>
      <c r="M477" s="322">
        <v>2031</v>
      </c>
      <c r="N477" s="322">
        <v>2032</v>
      </c>
      <c r="O477" s="322">
        <v>2033</v>
      </c>
      <c r="P477" s="322">
        <v>2034</v>
      </c>
      <c r="Q477" s="680">
        <v>2035</v>
      </c>
      <c r="R477" s="182"/>
      <c r="S477" s="182"/>
      <c r="T477" s="182"/>
      <c r="U477" s="182"/>
      <c r="V477" s="182"/>
      <c r="W477" s="182"/>
      <c r="X477" s="182"/>
      <c r="Y477" s="182"/>
      <c r="Z477" s="182"/>
      <c r="AA477" s="182"/>
      <c r="AB477" s="182"/>
      <c r="AC477" s="182"/>
      <c r="AD477" s="182"/>
      <c r="AE477" s="182"/>
      <c r="AF477" s="182"/>
      <c r="AG477" s="182"/>
      <c r="AH477" s="182"/>
      <c r="AI477" s="182"/>
      <c r="AJ477" s="182"/>
      <c r="AK477" s="182"/>
      <c r="AL477" s="182"/>
      <c r="AM477" s="182"/>
      <c r="AN477" s="182"/>
      <c r="AO477" s="182"/>
      <c r="AP477" s="182"/>
      <c r="AQ477" s="182"/>
      <c r="AR477" s="182"/>
      <c r="AS477" s="182"/>
      <c r="AT477" s="182"/>
      <c r="AU477" s="182"/>
      <c r="AV477" s="182"/>
      <c r="AW477" s="182"/>
      <c r="AX477" s="182"/>
      <c r="AY477" s="182"/>
      <c r="AZ477" s="182"/>
    </row>
    <row r="478" spans="3:52" ht="16">
      <c r="C478" s="664" t="s">
        <v>177</v>
      </c>
      <c r="D478" s="291"/>
      <c r="E478" s="291"/>
      <c r="F478" s="291">
        <f>'Deuda a emitir'!F91</f>
        <v>0</v>
      </c>
      <c r="G478" s="291">
        <f>'Deuda a emitir'!G91</f>
        <v>0</v>
      </c>
      <c r="H478" s="291">
        <f>'Deuda a emitir'!H91</f>
        <v>0</v>
      </c>
      <c r="I478" s="291">
        <f>'Deuda a emitir'!I91</f>
        <v>0</v>
      </c>
      <c r="J478" s="291">
        <f>'Deuda a emitir'!J91</f>
        <v>0</v>
      </c>
      <c r="K478" s="291">
        <f>'Deuda a emitir'!K91</f>
        <v>0</v>
      </c>
      <c r="L478" s="291">
        <f>'Deuda a emitir'!L91</f>
        <v>0</v>
      </c>
      <c r="M478" s="291">
        <f>'Deuda a emitir'!M91</f>
        <v>0</v>
      </c>
      <c r="N478" s="291">
        <f>'Deuda a emitir'!N91</f>
        <v>0</v>
      </c>
      <c r="O478" s="291">
        <f>'Deuda a emitir'!O91</f>
        <v>0</v>
      </c>
      <c r="P478" s="291">
        <f>'Deuda a emitir'!P91</f>
        <v>0</v>
      </c>
      <c r="Q478" s="666">
        <f>'Deuda a emitir'!Q91</f>
        <v>0</v>
      </c>
      <c r="R478" s="182"/>
      <c r="S478" s="182"/>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c r="AR478" s="182"/>
      <c r="AS478" s="182"/>
      <c r="AT478" s="182"/>
      <c r="AU478" s="182"/>
      <c r="AV478" s="182"/>
      <c r="AW478" s="182"/>
      <c r="AX478" s="182"/>
      <c r="AY478" s="182"/>
      <c r="AZ478" s="182"/>
    </row>
    <row r="479" spans="3:52" ht="16">
      <c r="C479" s="664" t="s">
        <v>178</v>
      </c>
      <c r="D479" s="291"/>
      <c r="E479" s="291"/>
      <c r="F479" s="291">
        <f>'Deuda a emitir'!F92</f>
        <v>0</v>
      </c>
      <c r="G479" s="291">
        <f>'Deuda a emitir'!G92</f>
        <v>0</v>
      </c>
      <c r="H479" s="291">
        <f>'Deuda a emitir'!H92</f>
        <v>0</v>
      </c>
      <c r="I479" s="291">
        <f>'Deuda a emitir'!I92</f>
        <v>0</v>
      </c>
      <c r="J479" s="291">
        <f>'Deuda a emitir'!J92</f>
        <v>0</v>
      </c>
      <c r="K479" s="291">
        <f>'Deuda a emitir'!K92</f>
        <v>0</v>
      </c>
      <c r="L479" s="291">
        <f>'Deuda a emitir'!L92</f>
        <v>0</v>
      </c>
      <c r="M479" s="291">
        <f>'Deuda a emitir'!M92</f>
        <v>0</v>
      </c>
      <c r="N479" s="291">
        <f>'Deuda a emitir'!N92</f>
        <v>0</v>
      </c>
      <c r="O479" s="291">
        <f>'Deuda a emitir'!O92</f>
        <v>0</v>
      </c>
      <c r="P479" s="291">
        <f>'Deuda a emitir'!P92</f>
        <v>0</v>
      </c>
      <c r="Q479" s="666">
        <f>'Deuda a emitir'!Q92</f>
        <v>0</v>
      </c>
      <c r="R479" s="182"/>
      <c r="S479" s="182"/>
      <c r="T479" s="182"/>
      <c r="U479" s="182"/>
      <c r="V479" s="182"/>
      <c r="W479" s="182"/>
      <c r="X479" s="182"/>
      <c r="Y479" s="182"/>
      <c r="Z479" s="182"/>
      <c r="AA479" s="182"/>
      <c r="AB479" s="182"/>
      <c r="AC479" s="182"/>
      <c r="AD479" s="182"/>
      <c r="AE479" s="182"/>
      <c r="AF479" s="182"/>
      <c r="AG479" s="182"/>
      <c r="AH479" s="182"/>
      <c r="AI479" s="182"/>
      <c r="AJ479" s="182"/>
      <c r="AK479" s="182"/>
      <c r="AL479" s="182"/>
      <c r="AM479" s="182"/>
      <c r="AN479" s="182"/>
      <c r="AO479" s="182"/>
      <c r="AP479" s="182"/>
      <c r="AQ479" s="182"/>
      <c r="AR479" s="182"/>
      <c r="AS479" s="182"/>
      <c r="AT479" s="182"/>
      <c r="AU479" s="182"/>
      <c r="AV479" s="182"/>
      <c r="AW479" s="182"/>
      <c r="AX479" s="182"/>
      <c r="AY479" s="182"/>
      <c r="AZ479" s="182"/>
    </row>
    <row r="480" spans="3:52" ht="16">
      <c r="C480" s="664" t="s">
        <v>179</v>
      </c>
      <c r="D480" s="328"/>
      <c r="E480" s="328"/>
      <c r="F480" s="328">
        <f>'Deuda a emitir'!F93</f>
        <v>5</v>
      </c>
      <c r="G480" s="328">
        <f>'Deuda a emitir'!G93</f>
        <v>5</v>
      </c>
      <c r="H480" s="328">
        <f>'Deuda a emitir'!H93</f>
        <v>5</v>
      </c>
      <c r="I480" s="328">
        <f>'Deuda a emitir'!I93</f>
        <v>5</v>
      </c>
      <c r="J480" s="328">
        <f>'Deuda a emitir'!J93</f>
        <v>5</v>
      </c>
      <c r="K480" s="328">
        <f>'Deuda a emitir'!K93</f>
        <v>5</v>
      </c>
      <c r="L480" s="328">
        <f>'Deuda a emitir'!L93</f>
        <v>5</v>
      </c>
      <c r="M480" s="328">
        <f>'Deuda a emitir'!M93</f>
        <v>5</v>
      </c>
      <c r="N480" s="328">
        <f>'Deuda a emitir'!N93</f>
        <v>5</v>
      </c>
      <c r="O480" s="328">
        <f>'Deuda a emitir'!O93</f>
        <v>5</v>
      </c>
      <c r="P480" s="328">
        <f>'Deuda a emitir'!P93</f>
        <v>5</v>
      </c>
      <c r="Q480" s="681">
        <f>'Deuda a emitir'!Q93</f>
        <v>5</v>
      </c>
      <c r="R480" s="182"/>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c r="AR480" s="182"/>
      <c r="AS480" s="182"/>
      <c r="AT480" s="182"/>
      <c r="AU480" s="182"/>
      <c r="AV480" s="182"/>
      <c r="AW480" s="182"/>
      <c r="AX480" s="182"/>
      <c r="AY480" s="182"/>
      <c r="AZ480" s="182"/>
    </row>
    <row r="481" spans="3:52" ht="16">
      <c r="C481" s="664" t="s">
        <v>72</v>
      </c>
      <c r="D481" s="328"/>
      <c r="E481" s="328"/>
      <c r="F481" s="328">
        <f t="shared" ref="F481:Q481" si="191">F477+F480</f>
        <v>2029</v>
      </c>
      <c r="G481" s="328">
        <f t="shared" si="191"/>
        <v>2030</v>
      </c>
      <c r="H481" s="328">
        <f t="shared" si="191"/>
        <v>2031</v>
      </c>
      <c r="I481" s="328">
        <f t="shared" si="191"/>
        <v>2032</v>
      </c>
      <c r="J481" s="328">
        <f t="shared" si="191"/>
        <v>2033</v>
      </c>
      <c r="K481" s="328">
        <f t="shared" si="191"/>
        <v>2034</v>
      </c>
      <c r="L481" s="328">
        <f t="shared" si="191"/>
        <v>2035</v>
      </c>
      <c r="M481" s="328">
        <f t="shared" si="191"/>
        <v>2036</v>
      </c>
      <c r="N481" s="328">
        <f t="shared" si="191"/>
        <v>2037</v>
      </c>
      <c r="O481" s="328">
        <f t="shared" si="191"/>
        <v>2038</v>
      </c>
      <c r="P481" s="328">
        <f t="shared" si="191"/>
        <v>2039</v>
      </c>
      <c r="Q481" s="681">
        <f t="shared" si="191"/>
        <v>2040</v>
      </c>
      <c r="R481" s="182"/>
      <c r="S481" s="182"/>
      <c r="T481" s="182"/>
      <c r="U481" s="182"/>
      <c r="V481" s="182"/>
      <c r="W481" s="182"/>
      <c r="X481" s="182"/>
      <c r="Y481" s="182"/>
      <c r="Z481" s="182"/>
      <c r="AA481" s="182"/>
      <c r="AB481" s="182"/>
      <c r="AC481" s="182"/>
      <c r="AD481" s="182"/>
      <c r="AE481" s="182"/>
      <c r="AF481" s="182"/>
      <c r="AG481" s="182"/>
      <c r="AH481" s="182"/>
      <c r="AI481" s="182"/>
      <c r="AJ481" s="182"/>
      <c r="AK481" s="182"/>
      <c r="AL481" s="182"/>
      <c r="AM481" s="182"/>
      <c r="AN481" s="182"/>
      <c r="AO481" s="182"/>
      <c r="AP481" s="182"/>
      <c r="AQ481" s="182"/>
      <c r="AR481" s="182"/>
      <c r="AS481" s="182"/>
      <c r="AT481" s="182"/>
      <c r="AU481" s="182"/>
      <c r="AV481" s="182"/>
      <c r="AW481" s="182"/>
      <c r="AX481" s="182"/>
      <c r="AY481" s="182"/>
      <c r="AZ481" s="182"/>
    </row>
    <row r="482" spans="3:52" ht="16">
      <c r="C482" s="664" t="s">
        <v>180</v>
      </c>
      <c r="D482" s="291"/>
      <c r="E482" s="291"/>
      <c r="F482" s="291">
        <f>'Deuda a emitir'!F87</f>
        <v>0</v>
      </c>
      <c r="G482" s="291">
        <f>'Deuda a emitir'!G87</f>
        <v>0</v>
      </c>
      <c r="H482" s="291">
        <f>'Deuda a emitir'!H87</f>
        <v>0</v>
      </c>
      <c r="I482" s="291">
        <f>'Deuda a emitir'!I87</f>
        <v>0</v>
      </c>
      <c r="J482" s="291">
        <f>'Deuda a emitir'!J87</f>
        <v>0</v>
      </c>
      <c r="K482" s="291">
        <f>'Deuda a emitir'!K87</f>
        <v>0</v>
      </c>
      <c r="L482" s="291">
        <f>'Deuda a emitir'!L87</f>
        <v>0</v>
      </c>
      <c r="M482" s="291">
        <f>'Deuda a emitir'!M87</f>
        <v>0</v>
      </c>
      <c r="N482" s="291">
        <f>'Deuda a emitir'!N87</f>
        <v>0</v>
      </c>
      <c r="O482" s="291">
        <f>'Deuda a emitir'!O87</f>
        <v>0</v>
      </c>
      <c r="P482" s="291">
        <f>'Deuda a emitir'!P87</f>
        <v>0</v>
      </c>
      <c r="Q482" s="666">
        <f>'Deuda a emitir'!Q87</f>
        <v>0</v>
      </c>
      <c r="R482" s="182"/>
      <c r="S482" s="182"/>
      <c r="T482" s="182"/>
      <c r="U482" s="182"/>
      <c r="V482" s="182"/>
      <c r="W482" s="182"/>
      <c r="X482" s="182"/>
      <c r="Y482" s="182"/>
      <c r="Z482" s="182"/>
      <c r="AA482" s="182"/>
      <c r="AB482" s="182"/>
      <c r="AC482" s="182"/>
      <c r="AD482" s="182"/>
      <c r="AE482" s="182"/>
      <c r="AF482" s="182"/>
      <c r="AG482" s="182"/>
      <c r="AH482" s="182"/>
      <c r="AI482" s="182"/>
      <c r="AJ482" s="182"/>
      <c r="AK482" s="182"/>
      <c r="AL482" s="182"/>
      <c r="AM482" s="182"/>
      <c r="AN482" s="182"/>
      <c r="AO482" s="182"/>
      <c r="AP482" s="182"/>
      <c r="AQ482" s="182"/>
      <c r="AR482" s="182"/>
      <c r="AS482" s="182"/>
      <c r="AT482" s="182"/>
      <c r="AU482" s="182"/>
      <c r="AV482" s="182"/>
      <c r="AW482" s="182"/>
      <c r="AX482" s="182"/>
      <c r="AY482" s="182"/>
      <c r="AZ482" s="182"/>
    </row>
    <row r="483" spans="3:52" ht="32">
      <c r="C483" s="664" t="s">
        <v>204</v>
      </c>
      <c r="D483" s="283"/>
      <c r="E483" s="283"/>
      <c r="F483" s="283">
        <f t="shared" ref="F483:Q483" si="192">F$463*F482</f>
        <v>0</v>
      </c>
      <c r="G483" s="283" t="e">
        <f t="shared" si="192"/>
        <v>#DIV/0!</v>
      </c>
      <c r="H483" s="283" t="e">
        <f t="shared" si="192"/>
        <v>#DIV/0!</v>
      </c>
      <c r="I483" s="283" t="e">
        <f t="shared" si="192"/>
        <v>#DIV/0!</v>
      </c>
      <c r="J483" s="283" t="e">
        <f t="shared" si="192"/>
        <v>#DIV/0!</v>
      </c>
      <c r="K483" s="283" t="e">
        <f t="shared" si="192"/>
        <v>#DIV/0!</v>
      </c>
      <c r="L483" s="283" t="e">
        <f t="shared" si="192"/>
        <v>#DIV/0!</v>
      </c>
      <c r="M483" s="283" t="e">
        <f t="shared" si="192"/>
        <v>#DIV/0!</v>
      </c>
      <c r="N483" s="283" t="e">
        <f t="shared" si="192"/>
        <v>#DIV/0!</v>
      </c>
      <c r="O483" s="283" t="e">
        <f t="shared" si="192"/>
        <v>#DIV/0!</v>
      </c>
      <c r="P483" s="283" t="e">
        <f t="shared" si="192"/>
        <v>#DIV/0!</v>
      </c>
      <c r="Q483" s="667" t="e">
        <f t="shared" si="192"/>
        <v>#DIV/0!</v>
      </c>
      <c r="R483" s="182"/>
      <c r="S483" s="182"/>
      <c r="T483" s="182"/>
      <c r="U483" s="182"/>
      <c r="V483" s="182"/>
      <c r="W483" s="182"/>
      <c r="X483" s="182"/>
      <c r="Y483" s="182"/>
      <c r="Z483" s="182"/>
      <c r="AA483" s="182"/>
      <c r="AB483" s="182"/>
      <c r="AC483" s="182"/>
      <c r="AD483" s="182"/>
      <c r="AE483" s="182"/>
      <c r="AF483" s="182"/>
      <c r="AG483" s="182"/>
      <c r="AH483" s="182"/>
      <c r="AI483" s="182"/>
      <c r="AJ483" s="182"/>
      <c r="AK483" s="182"/>
      <c r="AL483" s="182"/>
      <c r="AM483" s="182"/>
      <c r="AN483" s="182"/>
      <c r="AO483" s="182"/>
      <c r="AP483" s="182"/>
      <c r="AQ483" s="182"/>
      <c r="AR483" s="182"/>
      <c r="AS483" s="182"/>
      <c r="AT483" s="182"/>
      <c r="AU483" s="182"/>
      <c r="AV483" s="182"/>
      <c r="AW483" s="182"/>
      <c r="AX483" s="182"/>
      <c r="AY483" s="182"/>
      <c r="AZ483" s="182"/>
    </row>
    <row r="484" spans="3:52" ht="32">
      <c r="C484" s="664" t="s">
        <v>171</v>
      </c>
      <c r="D484" s="283"/>
      <c r="E484" s="283"/>
      <c r="F484" s="283">
        <f>'Deuda a emitir'!F$155*F482</f>
        <v>0</v>
      </c>
      <c r="G484" s="283">
        <f>'Deuda a emitir'!G$155*G482</f>
        <v>0</v>
      </c>
      <c r="H484" s="283">
        <f>'Deuda a emitir'!H$155*H482</f>
        <v>0</v>
      </c>
      <c r="I484" s="283">
        <f>'Deuda a emitir'!I$155*I482</f>
        <v>0</v>
      </c>
      <c r="J484" s="283">
        <f>'Deuda a emitir'!J$155*J482</f>
        <v>0</v>
      </c>
      <c r="K484" s="283">
        <f>'Deuda a emitir'!K$155*K482</f>
        <v>0</v>
      </c>
      <c r="L484" s="283">
        <f>'Deuda a emitir'!L$155*L482</f>
        <v>0</v>
      </c>
      <c r="M484" s="283">
        <f>'Deuda a emitir'!M$155*M482</f>
        <v>0</v>
      </c>
      <c r="N484" s="283">
        <f>'Deuda a emitir'!N$155*N482</f>
        <v>0</v>
      </c>
      <c r="O484" s="283">
        <f>'Deuda a emitir'!O$155*O482</f>
        <v>0</v>
      </c>
      <c r="P484" s="283">
        <f>'Deuda a emitir'!P$155*P482</f>
        <v>0</v>
      </c>
      <c r="Q484" s="667">
        <f>'Deuda a emitir'!Q$155*Q482</f>
        <v>0</v>
      </c>
      <c r="R484" s="182"/>
      <c r="S484" s="182"/>
      <c r="T484" s="182"/>
      <c r="U484" s="182"/>
      <c r="V484" s="182"/>
      <c r="W484" s="182"/>
      <c r="X484" s="182"/>
      <c r="Y484" s="182"/>
      <c r="Z484" s="182"/>
      <c r="AA484" s="182"/>
      <c r="AB484" s="182"/>
      <c r="AC484" s="182"/>
      <c r="AD484" s="182"/>
      <c r="AE484" s="182"/>
      <c r="AF484" s="182"/>
      <c r="AG484" s="182"/>
      <c r="AH484" s="182"/>
      <c r="AI484" s="182"/>
      <c r="AJ484" s="182"/>
      <c r="AK484" s="182"/>
      <c r="AL484" s="182"/>
      <c r="AM484" s="182"/>
      <c r="AN484" s="182"/>
      <c r="AO484" s="182"/>
      <c r="AP484" s="182"/>
      <c r="AQ484" s="182"/>
      <c r="AR484" s="182"/>
      <c r="AS484" s="182"/>
      <c r="AT484" s="182"/>
      <c r="AU484" s="182"/>
      <c r="AV484" s="182"/>
      <c r="AW484" s="182"/>
      <c r="AX484" s="182"/>
      <c r="AY484" s="182"/>
      <c r="AZ484" s="182"/>
    </row>
    <row r="485" spans="3:52" ht="16">
      <c r="C485" s="668" t="s">
        <v>212</v>
      </c>
      <c r="D485" s="37"/>
      <c r="E485" s="37"/>
      <c r="F485" s="37">
        <f t="shared" ref="F485:P485" si="193">SUM(F483:F484)</f>
        <v>0</v>
      </c>
      <c r="G485" s="37" t="e">
        <f t="shared" si="193"/>
        <v>#DIV/0!</v>
      </c>
      <c r="H485" s="37" t="e">
        <f t="shared" si="193"/>
        <v>#DIV/0!</v>
      </c>
      <c r="I485" s="37" t="e">
        <f t="shared" si="193"/>
        <v>#DIV/0!</v>
      </c>
      <c r="J485" s="37" t="e">
        <f t="shared" si="193"/>
        <v>#DIV/0!</v>
      </c>
      <c r="K485" s="37" t="e">
        <f t="shared" si="193"/>
        <v>#DIV/0!</v>
      </c>
      <c r="L485" s="37" t="e">
        <f t="shared" si="193"/>
        <v>#DIV/0!</v>
      </c>
      <c r="M485" s="37" t="e">
        <f t="shared" si="193"/>
        <v>#DIV/0!</v>
      </c>
      <c r="N485" s="37" t="e">
        <f t="shared" si="193"/>
        <v>#DIV/0!</v>
      </c>
      <c r="O485" s="37" t="e">
        <f t="shared" si="193"/>
        <v>#DIV/0!</v>
      </c>
      <c r="P485" s="37" t="e">
        <f t="shared" si="193"/>
        <v>#DIV/0!</v>
      </c>
      <c r="Q485" s="669" t="e">
        <f t="shared" ref="Q485" si="194">SUM(Q483:Q484)</f>
        <v>#DIV/0!</v>
      </c>
      <c r="R485" s="182"/>
      <c r="S485" s="182"/>
      <c r="T485" s="182"/>
      <c r="U485" s="182"/>
      <c r="V485" s="182"/>
      <c r="W485" s="182"/>
      <c r="X485" s="182"/>
      <c r="Y485" s="182"/>
      <c r="Z485" s="182"/>
      <c r="AA485" s="182"/>
      <c r="AB485" s="182"/>
      <c r="AC485" s="182"/>
      <c r="AD485" s="182"/>
      <c r="AE485" s="182"/>
      <c r="AF485" s="182"/>
      <c r="AG485" s="182"/>
      <c r="AH485" s="182"/>
      <c r="AI485" s="182"/>
      <c r="AJ485" s="182"/>
      <c r="AK485" s="182"/>
      <c r="AL485" s="182"/>
      <c r="AM485" s="182"/>
      <c r="AN485" s="182"/>
      <c r="AO485" s="182"/>
      <c r="AP485" s="182"/>
      <c r="AQ485" s="182"/>
      <c r="AR485" s="182"/>
      <c r="AS485" s="182"/>
      <c r="AT485" s="182"/>
      <c r="AU485" s="182"/>
      <c r="AV485" s="182"/>
      <c r="AW485" s="182"/>
      <c r="AX485" s="182"/>
      <c r="AY485" s="182"/>
      <c r="AZ485" s="182"/>
    </row>
    <row r="486" spans="3:52" ht="16">
      <c r="C486" s="686" t="s">
        <v>213</v>
      </c>
      <c r="D486" s="332"/>
      <c r="E486" s="332"/>
      <c r="F486" s="332" t="e">
        <f t="shared" ref="F486:Q486" si="195">F485/F$462</f>
        <v>#DIV/0!</v>
      </c>
      <c r="G486" s="332" t="e">
        <f t="shared" si="195"/>
        <v>#DIV/0!</v>
      </c>
      <c r="H486" s="332" t="e">
        <f t="shared" si="195"/>
        <v>#DIV/0!</v>
      </c>
      <c r="I486" s="332" t="e">
        <f t="shared" si="195"/>
        <v>#DIV/0!</v>
      </c>
      <c r="J486" s="332" t="e">
        <f t="shared" si="195"/>
        <v>#DIV/0!</v>
      </c>
      <c r="K486" s="332" t="e">
        <f t="shared" si="195"/>
        <v>#DIV/0!</v>
      </c>
      <c r="L486" s="332" t="e">
        <f t="shared" si="195"/>
        <v>#DIV/0!</v>
      </c>
      <c r="M486" s="332" t="e">
        <f t="shared" si="195"/>
        <v>#DIV/0!</v>
      </c>
      <c r="N486" s="332" t="e">
        <f t="shared" si="195"/>
        <v>#DIV/0!</v>
      </c>
      <c r="O486" s="332" t="e">
        <f t="shared" si="195"/>
        <v>#DIV/0!</v>
      </c>
      <c r="P486" s="332" t="e">
        <f t="shared" si="195"/>
        <v>#DIV/0!</v>
      </c>
      <c r="Q486" s="698" t="e">
        <f t="shared" si="195"/>
        <v>#DIV/0!</v>
      </c>
      <c r="R486" s="333"/>
      <c r="S486" s="333"/>
      <c r="T486" s="333"/>
      <c r="U486" s="333"/>
      <c r="V486" s="333"/>
      <c r="W486" s="333"/>
      <c r="X486" s="333"/>
      <c r="Y486" s="333"/>
      <c r="Z486" s="333"/>
      <c r="AA486" s="333"/>
      <c r="AB486" s="333"/>
      <c r="AC486" s="333"/>
      <c r="AD486" s="333"/>
      <c r="AE486" s="333"/>
      <c r="AF486" s="333"/>
      <c r="AG486" s="333"/>
      <c r="AH486" s="333"/>
      <c r="AI486" s="333"/>
      <c r="AJ486" s="333"/>
      <c r="AK486" s="333"/>
      <c r="AL486" s="333"/>
      <c r="AM486" s="333"/>
      <c r="AN486" s="333"/>
      <c r="AO486" s="333"/>
      <c r="AP486" s="333"/>
      <c r="AQ486" s="333"/>
      <c r="AR486" s="333"/>
      <c r="AS486" s="333"/>
      <c r="AT486" s="333"/>
      <c r="AU486" s="333"/>
      <c r="AV486" s="333"/>
      <c r="AW486" s="333"/>
      <c r="AX486" s="333"/>
      <c r="AY486" s="333"/>
      <c r="AZ486" s="333"/>
    </row>
    <row r="487" spans="3:52" ht="16">
      <c r="C487" s="668" t="s">
        <v>214</v>
      </c>
      <c r="D487" s="37"/>
      <c r="E487" s="37"/>
      <c r="F487" s="37" t="e">
        <f t="shared" ref="F487:Q487" si="196">F486*HLOOKUP((F477+F480),$E461:$AZ462,2,FALSE)</f>
        <v>#DIV/0!</v>
      </c>
      <c r="G487" s="37" t="e">
        <f t="shared" si="196"/>
        <v>#DIV/0!</v>
      </c>
      <c r="H487" s="37" t="e">
        <f t="shared" si="196"/>
        <v>#DIV/0!</v>
      </c>
      <c r="I487" s="37" t="e">
        <f t="shared" si="196"/>
        <v>#DIV/0!</v>
      </c>
      <c r="J487" s="37" t="e">
        <f t="shared" si="196"/>
        <v>#DIV/0!</v>
      </c>
      <c r="K487" s="37" t="e">
        <f t="shared" si="196"/>
        <v>#DIV/0!</v>
      </c>
      <c r="L487" s="37" t="e">
        <f t="shared" si="196"/>
        <v>#DIV/0!</v>
      </c>
      <c r="M487" s="37" t="e">
        <f t="shared" si="196"/>
        <v>#DIV/0!</v>
      </c>
      <c r="N487" s="37" t="e">
        <f t="shared" si="196"/>
        <v>#DIV/0!</v>
      </c>
      <c r="O487" s="37" t="e">
        <f t="shared" si="196"/>
        <v>#DIV/0!</v>
      </c>
      <c r="P487" s="37" t="e">
        <f t="shared" si="196"/>
        <v>#DIV/0!</v>
      </c>
      <c r="Q487" s="669" t="e">
        <f t="shared" si="196"/>
        <v>#DIV/0!</v>
      </c>
      <c r="R487" s="182"/>
      <c r="S487" s="182"/>
      <c r="T487" s="182"/>
      <c r="U487" s="182"/>
      <c r="V487" s="182"/>
      <c r="W487" s="182"/>
      <c r="X487" s="182"/>
      <c r="Y487" s="182"/>
      <c r="Z487" s="182"/>
      <c r="AA487" s="182"/>
      <c r="AB487" s="182"/>
      <c r="AC487" s="182"/>
      <c r="AD487" s="182"/>
      <c r="AE487" s="182"/>
      <c r="AF487" s="182"/>
      <c r="AG487" s="182"/>
      <c r="AH487" s="182"/>
      <c r="AI487" s="182"/>
      <c r="AJ487" s="182"/>
      <c r="AK487" s="182"/>
      <c r="AL487" s="182"/>
      <c r="AM487" s="182"/>
      <c r="AN487" s="182"/>
      <c r="AO487" s="182"/>
      <c r="AP487" s="182"/>
      <c r="AQ487" s="182"/>
      <c r="AR487" s="182"/>
      <c r="AS487" s="182"/>
      <c r="AT487" s="182"/>
      <c r="AU487" s="182"/>
      <c r="AV487" s="182"/>
      <c r="AW487" s="182"/>
      <c r="AX487" s="182"/>
      <c r="AY487" s="182"/>
      <c r="AZ487" s="182"/>
    </row>
    <row r="488" spans="3:52">
      <c r="C488" s="664"/>
      <c r="D488" s="283"/>
      <c r="E488" s="283"/>
      <c r="F488" s="283"/>
      <c r="G488" s="283"/>
      <c r="H488" s="283"/>
      <c r="I488" s="283"/>
      <c r="J488" s="283"/>
      <c r="K488" s="283"/>
      <c r="L488" s="283"/>
      <c r="M488" s="283"/>
      <c r="N488" s="283"/>
      <c r="O488" s="283"/>
      <c r="P488" s="283"/>
      <c r="Q488" s="667"/>
      <c r="R488" s="182"/>
      <c r="S488" s="182"/>
      <c r="T488" s="182"/>
      <c r="U488" s="182"/>
      <c r="V488" s="182"/>
      <c r="W488" s="182"/>
      <c r="X488" s="182"/>
      <c r="Y488" s="182"/>
      <c r="Z488" s="182"/>
      <c r="AA488" s="182"/>
      <c r="AB488" s="182"/>
      <c r="AC488" s="182"/>
      <c r="AD488" s="182"/>
      <c r="AE488" s="182"/>
      <c r="AF488" s="182"/>
      <c r="AG488" s="182"/>
      <c r="AH488" s="182"/>
      <c r="AI488" s="182"/>
      <c r="AJ488" s="182"/>
      <c r="AK488" s="182"/>
      <c r="AL488" s="182"/>
      <c r="AM488" s="182"/>
      <c r="AN488" s="182"/>
      <c r="AO488" s="182"/>
      <c r="AP488" s="182"/>
      <c r="AQ488" s="182"/>
      <c r="AR488" s="182"/>
      <c r="AS488" s="182"/>
      <c r="AT488" s="182"/>
      <c r="AU488" s="182"/>
      <c r="AV488" s="182"/>
      <c r="AW488" s="182"/>
      <c r="AX488" s="182"/>
      <c r="AY488" s="182"/>
      <c r="AZ488" s="182"/>
    </row>
    <row r="489" spans="3:52" ht="16">
      <c r="C489" s="664" t="s">
        <v>184</v>
      </c>
      <c r="D489" s="283"/>
      <c r="E489" s="283"/>
      <c r="F489" s="283" t="e">
        <f t="shared" ref="F489:Q489" si="197">-NPV(F479,F485,F492:F495,(F496-F487))</f>
        <v>#DIV/0!</v>
      </c>
      <c r="G489" s="283" t="e">
        <f t="shared" si="197"/>
        <v>#DIV/0!</v>
      </c>
      <c r="H489" s="283" t="e">
        <f t="shared" si="197"/>
        <v>#DIV/0!</v>
      </c>
      <c r="I489" s="283" t="e">
        <f t="shared" si="197"/>
        <v>#DIV/0!</v>
      </c>
      <c r="J489" s="283" t="e">
        <f t="shared" si="197"/>
        <v>#DIV/0!</v>
      </c>
      <c r="K489" s="283" t="e">
        <f t="shared" si="197"/>
        <v>#DIV/0!</v>
      </c>
      <c r="L489" s="283" t="e">
        <f t="shared" si="197"/>
        <v>#DIV/0!</v>
      </c>
      <c r="M489" s="283" t="e">
        <f t="shared" si="197"/>
        <v>#DIV/0!</v>
      </c>
      <c r="N489" s="283" t="e">
        <f t="shared" si="197"/>
        <v>#DIV/0!</v>
      </c>
      <c r="O489" s="283" t="e">
        <f t="shared" si="197"/>
        <v>#DIV/0!</v>
      </c>
      <c r="P489" s="283" t="e">
        <f t="shared" si="197"/>
        <v>#DIV/0!</v>
      </c>
      <c r="Q489" s="667" t="e">
        <f t="shared" si="197"/>
        <v>#DIV/0!</v>
      </c>
      <c r="R489" s="283"/>
      <c r="S489" s="283"/>
      <c r="T489" s="182"/>
      <c r="U489" s="182"/>
      <c r="V489" s="182"/>
      <c r="W489" s="182"/>
      <c r="X489" s="182"/>
      <c r="Y489" s="182"/>
      <c r="Z489" s="182"/>
      <c r="AA489" s="182"/>
      <c r="AB489" s="182"/>
      <c r="AC489" s="182"/>
      <c r="AD489" s="182"/>
      <c r="AE489" s="182"/>
      <c r="AF489" s="182"/>
      <c r="AG489" s="182"/>
      <c r="AH489" s="182"/>
      <c r="AI489" s="182"/>
      <c r="AJ489" s="182"/>
      <c r="AK489" s="182"/>
      <c r="AL489" s="182"/>
      <c r="AM489" s="182"/>
      <c r="AN489" s="182"/>
      <c r="AO489" s="182"/>
      <c r="AP489" s="182"/>
      <c r="AQ489" s="182"/>
      <c r="AR489" s="182"/>
      <c r="AS489" s="182"/>
      <c r="AT489" s="182"/>
      <c r="AU489" s="182"/>
      <c r="AV489" s="182"/>
      <c r="AW489" s="182"/>
      <c r="AX489" s="182"/>
      <c r="AY489" s="182"/>
      <c r="AZ489" s="182"/>
    </row>
    <row r="490" spans="3:52">
      <c r="C490" s="699">
        <f>-D$486*D$478*D$462/2</f>
        <v>0</v>
      </c>
      <c r="D490" s="283"/>
      <c r="E490" s="283"/>
      <c r="F490" s="283"/>
      <c r="G490" s="283"/>
      <c r="H490" s="283"/>
      <c r="I490" s="283"/>
      <c r="J490" s="283"/>
      <c r="K490" s="283"/>
      <c r="L490" s="283"/>
      <c r="M490" s="283"/>
      <c r="N490" s="283"/>
      <c r="O490" s="283"/>
      <c r="P490" s="283"/>
      <c r="Q490" s="667"/>
      <c r="R490" s="182"/>
      <c r="S490" s="182"/>
      <c r="T490" s="182"/>
      <c r="U490" s="182"/>
      <c r="V490" s="182"/>
      <c r="W490" s="182"/>
      <c r="X490" s="182"/>
      <c r="Y490" s="182"/>
      <c r="Z490" s="182"/>
      <c r="AA490" s="182"/>
      <c r="AB490" s="182"/>
      <c r="AC490" s="182"/>
      <c r="AD490" s="182"/>
      <c r="AE490" s="182"/>
      <c r="AF490" s="182"/>
      <c r="AG490" s="182"/>
      <c r="AH490" s="182"/>
      <c r="AI490" s="182"/>
      <c r="AJ490" s="182"/>
      <c r="AK490" s="182"/>
      <c r="AL490" s="182"/>
      <c r="AM490" s="182"/>
      <c r="AN490" s="182"/>
      <c r="AO490" s="182"/>
      <c r="AP490" s="182"/>
      <c r="AQ490" s="182"/>
      <c r="AR490" s="182"/>
      <c r="AS490" s="182"/>
      <c r="AT490" s="182"/>
      <c r="AU490" s="182"/>
      <c r="AV490" s="182"/>
      <c r="AW490" s="182"/>
      <c r="AX490" s="182"/>
      <c r="AY490" s="182"/>
      <c r="AZ490" s="182"/>
    </row>
    <row r="491" spans="3:52">
      <c r="C491" s="664">
        <v>0</v>
      </c>
      <c r="D491" s="283"/>
      <c r="E491" s="283"/>
      <c r="F491" s="283"/>
      <c r="G491" s="283"/>
      <c r="H491" s="283"/>
      <c r="I491" s="283"/>
      <c r="J491" s="283"/>
      <c r="K491" s="283"/>
      <c r="L491" s="283"/>
      <c r="M491" s="283"/>
      <c r="N491" s="283"/>
      <c r="O491" s="283"/>
      <c r="P491" s="283"/>
      <c r="Q491" s="667"/>
      <c r="R491" s="182"/>
      <c r="S491" s="182"/>
      <c r="T491" s="182"/>
      <c r="U491" s="182"/>
      <c r="V491" s="182"/>
      <c r="W491" s="182"/>
      <c r="X491" s="182"/>
      <c r="Y491" s="182"/>
      <c r="Z491" s="182"/>
      <c r="AA491" s="182"/>
      <c r="AB491" s="182"/>
      <c r="AC491" s="182"/>
      <c r="AD491" s="182"/>
      <c r="AE491" s="182"/>
      <c r="AF491" s="182"/>
      <c r="AG491" s="182"/>
      <c r="AH491" s="182"/>
      <c r="AI491" s="182"/>
      <c r="AJ491" s="182"/>
      <c r="AK491" s="182"/>
      <c r="AL491" s="182"/>
      <c r="AM491" s="182"/>
      <c r="AN491" s="182"/>
      <c r="AO491" s="182"/>
      <c r="AP491" s="182"/>
      <c r="AQ491" s="182"/>
      <c r="AR491" s="182"/>
      <c r="AS491" s="182"/>
      <c r="AT491" s="182"/>
      <c r="AU491" s="182"/>
      <c r="AV491" s="182"/>
      <c r="AW491" s="182"/>
      <c r="AX491" s="182"/>
      <c r="AY491" s="182"/>
      <c r="AZ491" s="182"/>
    </row>
    <row r="492" spans="3:52">
      <c r="C492" s="664">
        <v>1</v>
      </c>
      <c r="D492" s="283"/>
      <c r="E492" s="283"/>
      <c r="F492" s="283" t="e">
        <f t="shared" ref="F492:Q496" si="198">F$486*F$478*HLOOKUP((F$477+$C492),$E$461:$AZ$462,2,FALSE)</f>
        <v>#DIV/0!</v>
      </c>
      <c r="G492" s="283" t="e">
        <f t="shared" si="198"/>
        <v>#DIV/0!</v>
      </c>
      <c r="H492" s="283" t="e">
        <f t="shared" si="198"/>
        <v>#DIV/0!</v>
      </c>
      <c r="I492" s="283" t="e">
        <f t="shared" si="198"/>
        <v>#DIV/0!</v>
      </c>
      <c r="J492" s="283" t="e">
        <f t="shared" si="198"/>
        <v>#DIV/0!</v>
      </c>
      <c r="K492" s="283" t="e">
        <f t="shared" si="198"/>
        <v>#DIV/0!</v>
      </c>
      <c r="L492" s="283" t="e">
        <f t="shared" si="198"/>
        <v>#DIV/0!</v>
      </c>
      <c r="M492" s="283" t="e">
        <f t="shared" si="198"/>
        <v>#DIV/0!</v>
      </c>
      <c r="N492" s="283" t="e">
        <f t="shared" si="198"/>
        <v>#DIV/0!</v>
      </c>
      <c r="O492" s="283" t="e">
        <f t="shared" si="198"/>
        <v>#DIV/0!</v>
      </c>
      <c r="P492" s="283" t="e">
        <f t="shared" si="198"/>
        <v>#DIV/0!</v>
      </c>
      <c r="Q492" s="667" t="e">
        <f t="shared" si="198"/>
        <v>#DIV/0!</v>
      </c>
      <c r="R492" s="182"/>
      <c r="S492" s="182"/>
      <c r="T492" s="182"/>
      <c r="U492" s="182"/>
      <c r="V492" s="182"/>
      <c r="W492" s="182"/>
      <c r="X492" s="182"/>
      <c r="Y492" s="182"/>
      <c r="Z492" s="182"/>
      <c r="AA492" s="182"/>
      <c r="AB492" s="182"/>
      <c r="AC492" s="182"/>
      <c r="AD492" s="182"/>
      <c r="AE492" s="182"/>
      <c r="AF492" s="182"/>
      <c r="AG492" s="182"/>
      <c r="AH492" s="182"/>
      <c r="AI492" s="182"/>
      <c r="AJ492" s="182"/>
      <c r="AK492" s="182"/>
      <c r="AL492" s="182"/>
      <c r="AM492" s="182"/>
      <c r="AN492" s="182"/>
      <c r="AO492" s="182"/>
      <c r="AP492" s="182"/>
      <c r="AQ492" s="182"/>
      <c r="AR492" s="182"/>
      <c r="AS492" s="182"/>
      <c r="AT492" s="182"/>
      <c r="AU492" s="182"/>
      <c r="AV492" s="182"/>
      <c r="AW492" s="182"/>
      <c r="AX492" s="182"/>
      <c r="AY492" s="182"/>
      <c r="AZ492" s="182"/>
    </row>
    <row r="493" spans="3:52">
      <c r="C493" s="664">
        <v>2</v>
      </c>
      <c r="D493" s="283"/>
      <c r="E493" s="283"/>
      <c r="F493" s="283" t="e">
        <f t="shared" si="198"/>
        <v>#DIV/0!</v>
      </c>
      <c r="G493" s="283" t="e">
        <f t="shared" si="198"/>
        <v>#DIV/0!</v>
      </c>
      <c r="H493" s="283" t="e">
        <f t="shared" si="198"/>
        <v>#DIV/0!</v>
      </c>
      <c r="I493" s="283" t="e">
        <f t="shared" si="198"/>
        <v>#DIV/0!</v>
      </c>
      <c r="J493" s="283" t="e">
        <f t="shared" si="198"/>
        <v>#DIV/0!</v>
      </c>
      <c r="K493" s="283" t="e">
        <f t="shared" si="198"/>
        <v>#DIV/0!</v>
      </c>
      <c r="L493" s="283" t="e">
        <f t="shared" si="198"/>
        <v>#DIV/0!</v>
      </c>
      <c r="M493" s="283" t="e">
        <f t="shared" si="198"/>
        <v>#DIV/0!</v>
      </c>
      <c r="N493" s="283" t="e">
        <f t="shared" si="198"/>
        <v>#DIV/0!</v>
      </c>
      <c r="O493" s="283" t="e">
        <f t="shared" si="198"/>
        <v>#DIV/0!</v>
      </c>
      <c r="P493" s="283" t="e">
        <f t="shared" si="198"/>
        <v>#DIV/0!</v>
      </c>
      <c r="Q493" s="667" t="e">
        <f t="shared" si="198"/>
        <v>#DIV/0!</v>
      </c>
      <c r="R493" s="182"/>
      <c r="S493" s="182"/>
      <c r="T493" s="182"/>
      <c r="U493" s="182"/>
      <c r="V493" s="182"/>
      <c r="W493" s="182"/>
      <c r="X493" s="182"/>
      <c r="Y493" s="182"/>
      <c r="Z493" s="182"/>
      <c r="AA493" s="182"/>
      <c r="AB493" s="182"/>
      <c r="AC493" s="182"/>
      <c r="AD493" s="182"/>
      <c r="AE493" s="182"/>
      <c r="AF493" s="182"/>
      <c r="AG493" s="182"/>
      <c r="AH493" s="182"/>
      <c r="AI493" s="182"/>
      <c r="AJ493" s="182"/>
      <c r="AK493" s="182"/>
      <c r="AL493" s="182"/>
      <c r="AM493" s="182"/>
      <c r="AN493" s="182"/>
      <c r="AO493" s="182"/>
      <c r="AP493" s="182"/>
      <c r="AQ493" s="182"/>
      <c r="AR493" s="182"/>
      <c r="AS493" s="182"/>
      <c r="AT493" s="182"/>
      <c r="AU493" s="182"/>
      <c r="AV493" s="182"/>
      <c r="AW493" s="182"/>
      <c r="AX493" s="182"/>
      <c r="AY493" s="182"/>
      <c r="AZ493" s="182"/>
    </row>
    <row r="494" spans="3:52">
      <c r="C494" s="664">
        <v>3</v>
      </c>
      <c r="D494" s="283"/>
      <c r="E494" s="283"/>
      <c r="F494" s="283" t="e">
        <f t="shared" si="198"/>
        <v>#DIV/0!</v>
      </c>
      <c r="G494" s="283" t="e">
        <f t="shared" si="198"/>
        <v>#DIV/0!</v>
      </c>
      <c r="H494" s="283" t="e">
        <f t="shared" si="198"/>
        <v>#DIV/0!</v>
      </c>
      <c r="I494" s="283" t="e">
        <f t="shared" si="198"/>
        <v>#DIV/0!</v>
      </c>
      <c r="J494" s="283" t="e">
        <f t="shared" si="198"/>
        <v>#DIV/0!</v>
      </c>
      <c r="K494" s="283" t="e">
        <f t="shared" si="198"/>
        <v>#DIV/0!</v>
      </c>
      <c r="L494" s="283" t="e">
        <f t="shared" si="198"/>
        <v>#DIV/0!</v>
      </c>
      <c r="M494" s="283" t="e">
        <f t="shared" si="198"/>
        <v>#DIV/0!</v>
      </c>
      <c r="N494" s="283" t="e">
        <f t="shared" si="198"/>
        <v>#DIV/0!</v>
      </c>
      <c r="O494" s="283" t="e">
        <f t="shared" si="198"/>
        <v>#DIV/0!</v>
      </c>
      <c r="P494" s="283" t="e">
        <f t="shared" si="198"/>
        <v>#DIV/0!</v>
      </c>
      <c r="Q494" s="667" t="e">
        <f t="shared" si="198"/>
        <v>#DIV/0!</v>
      </c>
      <c r="R494" s="182"/>
      <c r="S494" s="182"/>
      <c r="T494" s="182"/>
      <c r="U494" s="182"/>
      <c r="V494" s="182"/>
      <c r="W494" s="182"/>
      <c r="X494" s="182"/>
      <c r="Y494" s="182"/>
      <c r="Z494" s="182"/>
      <c r="AA494" s="182"/>
      <c r="AB494" s="182"/>
      <c r="AC494" s="182"/>
      <c r="AD494" s="182"/>
      <c r="AE494" s="182"/>
      <c r="AF494" s="182"/>
      <c r="AG494" s="182"/>
      <c r="AH494" s="182"/>
      <c r="AI494" s="182"/>
      <c r="AJ494" s="182"/>
      <c r="AK494" s="182"/>
      <c r="AL494" s="182"/>
      <c r="AM494" s="182"/>
      <c r="AN494" s="182"/>
      <c r="AO494" s="182"/>
      <c r="AP494" s="182"/>
      <c r="AQ494" s="182"/>
      <c r="AR494" s="182"/>
      <c r="AS494" s="182"/>
      <c r="AT494" s="182"/>
      <c r="AU494" s="182"/>
      <c r="AV494" s="182"/>
      <c r="AW494" s="182"/>
      <c r="AX494" s="182"/>
      <c r="AY494" s="182"/>
      <c r="AZ494" s="182"/>
    </row>
    <row r="495" spans="3:52">
      <c r="C495" s="664">
        <v>4</v>
      </c>
      <c r="D495" s="283"/>
      <c r="E495" s="283"/>
      <c r="F495" s="283" t="e">
        <f t="shared" si="198"/>
        <v>#DIV/0!</v>
      </c>
      <c r="G495" s="283" t="e">
        <f t="shared" si="198"/>
        <v>#DIV/0!</v>
      </c>
      <c r="H495" s="283" t="e">
        <f t="shared" si="198"/>
        <v>#DIV/0!</v>
      </c>
      <c r="I495" s="283" t="e">
        <f t="shared" si="198"/>
        <v>#DIV/0!</v>
      </c>
      <c r="J495" s="283" t="e">
        <f t="shared" si="198"/>
        <v>#DIV/0!</v>
      </c>
      <c r="K495" s="283" t="e">
        <f t="shared" si="198"/>
        <v>#DIV/0!</v>
      </c>
      <c r="L495" s="283" t="e">
        <f t="shared" si="198"/>
        <v>#DIV/0!</v>
      </c>
      <c r="M495" s="283" t="e">
        <f t="shared" si="198"/>
        <v>#DIV/0!</v>
      </c>
      <c r="N495" s="283" t="e">
        <f t="shared" si="198"/>
        <v>#DIV/0!</v>
      </c>
      <c r="O495" s="283" t="e">
        <f t="shared" si="198"/>
        <v>#DIV/0!</v>
      </c>
      <c r="P495" s="283" t="e">
        <f t="shared" si="198"/>
        <v>#DIV/0!</v>
      </c>
      <c r="Q495" s="667" t="e">
        <f t="shared" si="198"/>
        <v>#DIV/0!</v>
      </c>
      <c r="R495" s="182"/>
      <c r="S495" s="182"/>
      <c r="T495" s="182"/>
      <c r="U495" s="182"/>
      <c r="V495" s="182"/>
      <c r="W495" s="182"/>
      <c r="X495" s="182"/>
      <c r="Y495" s="182"/>
      <c r="Z495" s="182"/>
      <c r="AA495" s="182"/>
      <c r="AB495" s="182"/>
      <c r="AC495" s="182"/>
      <c r="AD495" s="182"/>
      <c r="AE495" s="182"/>
      <c r="AF495" s="182"/>
      <c r="AG495" s="182"/>
      <c r="AH495" s="182"/>
      <c r="AI495" s="182"/>
      <c r="AJ495" s="182"/>
      <c r="AK495" s="182"/>
      <c r="AL495" s="182"/>
      <c r="AM495" s="182"/>
      <c r="AN495" s="182"/>
      <c r="AO495" s="182"/>
      <c r="AP495" s="182"/>
      <c r="AQ495" s="182"/>
      <c r="AR495" s="182"/>
      <c r="AS495" s="182"/>
      <c r="AT495" s="182"/>
      <c r="AU495" s="182"/>
      <c r="AV495" s="182"/>
      <c r="AW495" s="182"/>
      <c r="AX495" s="182"/>
      <c r="AY495" s="182"/>
      <c r="AZ495" s="182"/>
    </row>
    <row r="496" spans="3:52">
      <c r="C496" s="664">
        <v>5</v>
      </c>
      <c r="D496" s="283"/>
      <c r="E496" s="283"/>
      <c r="F496" s="283" t="e">
        <f t="shared" si="198"/>
        <v>#DIV/0!</v>
      </c>
      <c r="G496" s="283" t="e">
        <f t="shared" si="198"/>
        <v>#DIV/0!</v>
      </c>
      <c r="H496" s="283" t="e">
        <f t="shared" si="198"/>
        <v>#DIV/0!</v>
      </c>
      <c r="I496" s="283" t="e">
        <f t="shared" si="198"/>
        <v>#DIV/0!</v>
      </c>
      <c r="J496" s="283" t="e">
        <f t="shared" si="198"/>
        <v>#DIV/0!</v>
      </c>
      <c r="K496" s="283" t="e">
        <f t="shared" si="198"/>
        <v>#DIV/0!</v>
      </c>
      <c r="L496" s="283" t="e">
        <f t="shared" si="198"/>
        <v>#DIV/0!</v>
      </c>
      <c r="M496" s="283" t="e">
        <f t="shared" si="198"/>
        <v>#DIV/0!</v>
      </c>
      <c r="N496" s="283" t="e">
        <f t="shared" si="198"/>
        <v>#DIV/0!</v>
      </c>
      <c r="O496" s="283" t="e">
        <f t="shared" si="198"/>
        <v>#DIV/0!</v>
      </c>
      <c r="P496" s="283" t="e">
        <f t="shared" si="198"/>
        <v>#DIV/0!</v>
      </c>
      <c r="Q496" s="667" t="e">
        <f t="shared" si="198"/>
        <v>#DIV/0!</v>
      </c>
      <c r="R496" s="182"/>
      <c r="S496" s="182"/>
      <c r="T496" s="182"/>
      <c r="U496" s="182"/>
      <c r="V496" s="182"/>
      <c r="W496" s="182"/>
      <c r="X496" s="182"/>
      <c r="Y496" s="182"/>
      <c r="Z496" s="182"/>
      <c r="AA496" s="182"/>
      <c r="AB496" s="182"/>
      <c r="AC496" s="182"/>
      <c r="AD496" s="182"/>
      <c r="AE496" s="182"/>
      <c r="AF496" s="182"/>
      <c r="AG496" s="182"/>
      <c r="AH496" s="182"/>
      <c r="AI496" s="182"/>
      <c r="AJ496" s="182"/>
      <c r="AK496" s="182"/>
      <c r="AL496" s="182"/>
      <c r="AM496" s="182"/>
      <c r="AN496" s="182"/>
      <c r="AO496" s="182"/>
      <c r="AP496" s="182"/>
      <c r="AQ496" s="182"/>
      <c r="AR496" s="182"/>
      <c r="AS496" s="182"/>
      <c r="AT496" s="182"/>
      <c r="AU496" s="182"/>
      <c r="AV496" s="182"/>
      <c r="AW496" s="182"/>
      <c r="AX496" s="182"/>
      <c r="AY496" s="182"/>
      <c r="AZ496" s="182"/>
    </row>
    <row r="497" spans="3:52">
      <c r="C497" s="664"/>
      <c r="D497" s="283"/>
      <c r="E497" s="283"/>
      <c r="F497" s="283"/>
      <c r="G497" s="283"/>
      <c r="H497" s="283"/>
      <c r="I497" s="283"/>
      <c r="J497" s="283"/>
      <c r="K497" s="283"/>
      <c r="L497" s="283"/>
      <c r="M497" s="283"/>
      <c r="N497" s="283"/>
      <c r="O497" s="283"/>
      <c r="P497" s="283"/>
      <c r="Q497" s="667"/>
      <c r="R497" s="182"/>
      <c r="S497" s="182"/>
      <c r="T497" s="182"/>
      <c r="U497" s="182"/>
      <c r="V497" s="182"/>
      <c r="W497" s="182"/>
      <c r="X497" s="182"/>
      <c r="Y497" s="182"/>
      <c r="Z497" s="182"/>
      <c r="AA497" s="182"/>
      <c r="AB497" s="182"/>
      <c r="AC497" s="182"/>
      <c r="AD497" s="182"/>
      <c r="AE497" s="182"/>
      <c r="AF497" s="182"/>
      <c r="AG497" s="182"/>
      <c r="AH497" s="182"/>
      <c r="AI497" s="182"/>
      <c r="AJ497" s="182"/>
      <c r="AK497" s="182"/>
      <c r="AL497" s="182"/>
      <c r="AM497" s="182"/>
      <c r="AN497" s="182"/>
      <c r="AO497" s="182"/>
      <c r="AP497" s="182"/>
      <c r="AQ497" s="182"/>
      <c r="AR497" s="182"/>
      <c r="AS497" s="182"/>
      <c r="AT497" s="182"/>
      <c r="AU497" s="182"/>
      <c r="AV497" s="182"/>
      <c r="AW497" s="182"/>
      <c r="AX497" s="182"/>
      <c r="AY497" s="182"/>
      <c r="AZ497" s="182"/>
    </row>
    <row r="498" spans="3:52" ht="16">
      <c r="C498" s="664" t="s">
        <v>173</v>
      </c>
      <c r="D498" s="283"/>
      <c r="E498" s="283"/>
      <c r="F498" s="283">
        <f>E492+D493</f>
        <v>0</v>
      </c>
      <c r="G498" s="283" t="e">
        <f>F492+E493+D494</f>
        <v>#DIV/0!</v>
      </c>
      <c r="H498" s="283" t="e">
        <f>G492+F493+E494+D495</f>
        <v>#DIV/0!</v>
      </c>
      <c r="I498" s="283" t="e">
        <f>H492+G493+F494+E495+D496</f>
        <v>#DIV/0!</v>
      </c>
      <c r="J498" s="283" t="e">
        <f>I492+H493+G494+F495+E496</f>
        <v>#DIV/0!</v>
      </c>
      <c r="K498" s="283" t="e">
        <f t="shared" ref="K498:Q498" si="199">J492+I493+H494+G495+F496</f>
        <v>#DIV/0!</v>
      </c>
      <c r="L498" s="283" t="e">
        <f t="shared" si="199"/>
        <v>#DIV/0!</v>
      </c>
      <c r="M498" s="283" t="e">
        <f t="shared" si="199"/>
        <v>#DIV/0!</v>
      </c>
      <c r="N498" s="283" t="e">
        <f t="shared" si="199"/>
        <v>#DIV/0!</v>
      </c>
      <c r="O498" s="283" t="e">
        <f t="shared" si="199"/>
        <v>#DIV/0!</v>
      </c>
      <c r="P498" s="283" t="e">
        <f t="shared" si="199"/>
        <v>#DIV/0!</v>
      </c>
      <c r="Q498" s="667" t="e">
        <f t="shared" si="199"/>
        <v>#DIV/0!</v>
      </c>
      <c r="R498" s="283"/>
      <c r="S498" s="283"/>
      <c r="T498" s="182"/>
      <c r="U498" s="182"/>
      <c r="V498" s="182"/>
      <c r="W498" s="182"/>
      <c r="X498" s="182"/>
      <c r="Y498" s="182"/>
      <c r="Z498" s="182"/>
      <c r="AA498" s="182"/>
      <c r="AB498" s="182"/>
      <c r="AC498" s="182"/>
      <c r="AD498" s="182"/>
      <c r="AE498" s="182"/>
      <c r="AF498" s="182"/>
      <c r="AG498" s="182"/>
      <c r="AH498" s="182"/>
      <c r="AI498" s="182"/>
      <c r="AJ498" s="182"/>
      <c r="AK498" s="182"/>
      <c r="AL498" s="182"/>
      <c r="AM498" s="182"/>
      <c r="AN498" s="182"/>
      <c r="AO498" s="182"/>
      <c r="AP498" s="182"/>
      <c r="AQ498" s="182"/>
      <c r="AR498" s="182"/>
      <c r="AS498" s="182"/>
      <c r="AT498" s="182"/>
      <c r="AU498" s="182"/>
      <c r="AV498" s="182"/>
      <c r="AW498" s="182"/>
      <c r="AX498" s="182"/>
      <c r="AY498" s="182"/>
      <c r="AZ498" s="182"/>
    </row>
    <row r="499" spans="3:52" ht="16">
      <c r="C499" s="664" t="s">
        <v>174</v>
      </c>
      <c r="D499" s="283"/>
      <c r="E499" s="283"/>
      <c r="F499" s="283"/>
      <c r="G499" s="283"/>
      <c r="H499" s="283"/>
      <c r="I499" s="283"/>
      <c r="J499" s="283"/>
      <c r="K499" s="283"/>
      <c r="L499" s="283"/>
      <c r="M499" s="283"/>
      <c r="N499" s="283"/>
      <c r="O499" s="283"/>
      <c r="P499" s="283"/>
      <c r="Q499" s="667"/>
      <c r="R499" s="283"/>
      <c r="S499" s="283"/>
      <c r="T499" s="182"/>
      <c r="U499" s="182"/>
      <c r="V499" s="182"/>
      <c r="W499" s="182"/>
      <c r="X499" s="182"/>
      <c r="Y499" s="182"/>
      <c r="Z499" s="182"/>
      <c r="AA499" s="182"/>
      <c r="AB499" s="182"/>
      <c r="AC499" s="182"/>
      <c r="AD499" s="182"/>
      <c r="AE499" s="182"/>
      <c r="AF499" s="182"/>
      <c r="AG499" s="182"/>
      <c r="AH499" s="182"/>
      <c r="AI499" s="182"/>
      <c r="AJ499" s="182"/>
      <c r="AK499" s="182"/>
      <c r="AL499" s="182"/>
      <c r="AM499" s="182"/>
      <c r="AN499" s="182"/>
      <c r="AO499" s="182"/>
      <c r="AP499" s="182"/>
      <c r="AQ499" s="182"/>
      <c r="AR499" s="182"/>
      <c r="AS499" s="182"/>
      <c r="AT499" s="182"/>
      <c r="AU499" s="182"/>
      <c r="AV499" s="182"/>
      <c r="AW499" s="182"/>
      <c r="AX499" s="182"/>
      <c r="AY499" s="182"/>
      <c r="AZ499" s="182"/>
    </row>
    <row r="500" spans="3:52">
      <c r="C500" s="664"/>
      <c r="D500" s="283"/>
      <c r="E500" s="291"/>
      <c r="F500" s="291"/>
      <c r="G500" s="291"/>
      <c r="H500" s="291"/>
      <c r="I500" s="291"/>
      <c r="J500" s="291"/>
      <c r="K500" s="291"/>
      <c r="L500" s="291"/>
      <c r="M500" s="291"/>
      <c r="N500" s="291"/>
      <c r="O500" s="291"/>
      <c r="P500" s="291"/>
      <c r="Q500" s="666"/>
      <c r="R500" s="182"/>
      <c r="S500" s="182"/>
      <c r="T500" s="182"/>
      <c r="U500" s="182"/>
      <c r="V500" s="182"/>
      <c r="W500" s="182"/>
      <c r="X500" s="182"/>
      <c r="Y500" s="182"/>
      <c r="Z500" s="182"/>
      <c r="AA500" s="182"/>
      <c r="AB500" s="182"/>
      <c r="AC500" s="182"/>
      <c r="AD500" s="182"/>
      <c r="AE500" s="182"/>
      <c r="AF500" s="182"/>
      <c r="AG500" s="182"/>
      <c r="AH500" s="182"/>
      <c r="AI500" s="182"/>
      <c r="AJ500" s="182"/>
      <c r="AK500" s="182"/>
      <c r="AL500" s="182"/>
      <c r="AM500" s="182"/>
      <c r="AN500" s="182"/>
      <c r="AO500" s="182"/>
      <c r="AP500" s="182"/>
      <c r="AQ500" s="182"/>
      <c r="AR500" s="182"/>
      <c r="AS500" s="182"/>
      <c r="AT500" s="182"/>
      <c r="AU500" s="182"/>
      <c r="AV500" s="182"/>
      <c r="AW500" s="182"/>
      <c r="AX500" s="182"/>
      <c r="AY500" s="182"/>
      <c r="AZ500" s="182"/>
    </row>
    <row r="501" spans="3:52">
      <c r="C501" s="664"/>
      <c r="D501" s="182"/>
      <c r="E501" s="182"/>
      <c r="F501" s="182"/>
      <c r="G501" s="182"/>
      <c r="H501" s="182"/>
      <c r="I501" s="182"/>
      <c r="J501" s="182"/>
      <c r="K501" s="182"/>
      <c r="L501" s="182"/>
      <c r="M501" s="182"/>
      <c r="N501" s="182"/>
      <c r="O501" s="182"/>
      <c r="P501" s="182"/>
      <c r="Q501" s="678"/>
      <c r="R501" s="182"/>
      <c r="S501" s="182"/>
      <c r="T501" s="182"/>
      <c r="U501" s="182"/>
      <c r="V501" s="182"/>
      <c r="W501" s="182"/>
      <c r="X501" s="182"/>
      <c r="Y501" s="182"/>
      <c r="Z501" s="182"/>
      <c r="AA501" s="182"/>
      <c r="AB501" s="182"/>
      <c r="AC501" s="182"/>
      <c r="AD501" s="182"/>
      <c r="AE501" s="182"/>
      <c r="AF501" s="182"/>
      <c r="AG501" s="182"/>
      <c r="AH501" s="182"/>
      <c r="AI501" s="182"/>
      <c r="AJ501" s="182"/>
      <c r="AK501" s="182"/>
      <c r="AL501" s="182"/>
      <c r="AM501" s="182"/>
      <c r="AN501" s="182"/>
      <c r="AO501" s="182"/>
      <c r="AP501" s="182"/>
      <c r="AQ501" s="182"/>
      <c r="AR501" s="182"/>
      <c r="AS501" s="182"/>
      <c r="AT501" s="182"/>
      <c r="AU501" s="182"/>
      <c r="AV501" s="182"/>
      <c r="AW501" s="182"/>
      <c r="AX501" s="182"/>
      <c r="AY501" s="182"/>
      <c r="AZ501" s="182"/>
    </row>
    <row r="502" spans="3:52">
      <c r="C502" s="679">
        <v>10</v>
      </c>
      <c r="D502" s="322">
        <v>2022</v>
      </c>
      <c r="E502" s="322">
        <v>2023</v>
      </c>
      <c r="F502" s="322">
        <v>2024</v>
      </c>
      <c r="G502" s="322">
        <v>2025</v>
      </c>
      <c r="H502" s="322">
        <v>2026</v>
      </c>
      <c r="I502" s="322">
        <v>2027</v>
      </c>
      <c r="J502" s="322">
        <v>2028</v>
      </c>
      <c r="K502" s="322">
        <v>2029</v>
      </c>
      <c r="L502" s="322">
        <v>2030</v>
      </c>
      <c r="M502" s="322">
        <v>2031</v>
      </c>
      <c r="N502" s="322">
        <v>2032</v>
      </c>
      <c r="O502" s="322">
        <v>2033</v>
      </c>
      <c r="P502" s="322">
        <v>2034</v>
      </c>
      <c r="Q502" s="680">
        <v>2035</v>
      </c>
      <c r="R502" s="182"/>
      <c r="S502" s="182"/>
      <c r="T502" s="182"/>
      <c r="U502" s="182"/>
      <c r="V502" s="182"/>
      <c r="W502" s="182"/>
      <c r="X502" s="182"/>
      <c r="Y502" s="182"/>
      <c r="Z502" s="182"/>
      <c r="AA502" s="182"/>
      <c r="AB502" s="182"/>
      <c r="AC502" s="182"/>
      <c r="AD502" s="182"/>
      <c r="AE502" s="182"/>
      <c r="AF502" s="182"/>
      <c r="AG502" s="182"/>
      <c r="AH502" s="182"/>
      <c r="AI502" s="182"/>
      <c r="AJ502" s="182"/>
      <c r="AK502" s="182"/>
      <c r="AL502" s="182"/>
      <c r="AM502" s="182"/>
      <c r="AN502" s="182"/>
      <c r="AO502" s="182"/>
      <c r="AP502" s="182"/>
      <c r="AQ502" s="182"/>
      <c r="AR502" s="182"/>
      <c r="AS502" s="182"/>
      <c r="AT502" s="182"/>
      <c r="AU502" s="182"/>
      <c r="AV502" s="182"/>
      <c r="AW502" s="182"/>
      <c r="AX502" s="182"/>
      <c r="AY502" s="182"/>
      <c r="AZ502" s="182"/>
    </row>
    <row r="503" spans="3:52" ht="16">
      <c r="C503" s="664" t="s">
        <v>177</v>
      </c>
      <c r="D503" s="291"/>
      <c r="E503" s="291"/>
      <c r="F503" s="291">
        <f>'Deuda a emitir'!F95</f>
        <v>0</v>
      </c>
      <c r="G503" s="291">
        <f>'Deuda a emitir'!G95</f>
        <v>0</v>
      </c>
      <c r="H503" s="291">
        <f>'Deuda a emitir'!H95</f>
        <v>0</v>
      </c>
      <c r="I503" s="291">
        <f>'Deuda a emitir'!I95</f>
        <v>0</v>
      </c>
      <c r="J503" s="291">
        <f>'Deuda a emitir'!J95</f>
        <v>0</v>
      </c>
      <c r="K503" s="291">
        <f>'Deuda a emitir'!K95</f>
        <v>0</v>
      </c>
      <c r="L503" s="291">
        <f>'Deuda a emitir'!L95</f>
        <v>0</v>
      </c>
      <c r="M503" s="291">
        <f>'Deuda a emitir'!M95</f>
        <v>0</v>
      </c>
      <c r="N503" s="291">
        <f>'Deuda a emitir'!N95</f>
        <v>0</v>
      </c>
      <c r="O503" s="291">
        <f>'Deuda a emitir'!O95</f>
        <v>0</v>
      </c>
      <c r="P503" s="291">
        <f>'Deuda a emitir'!P95</f>
        <v>0</v>
      </c>
      <c r="Q503" s="666">
        <f>'Deuda a emitir'!Q95</f>
        <v>0</v>
      </c>
      <c r="R503" s="182"/>
      <c r="S503" s="182"/>
      <c r="T503" s="182"/>
      <c r="U503" s="182"/>
      <c r="V503" s="182"/>
      <c r="W503" s="182"/>
      <c r="X503" s="182"/>
      <c r="Y503" s="182"/>
      <c r="Z503" s="182"/>
      <c r="AA503" s="182"/>
      <c r="AB503" s="182"/>
      <c r="AC503" s="182"/>
      <c r="AD503" s="182"/>
      <c r="AE503" s="182"/>
      <c r="AF503" s="182"/>
      <c r="AG503" s="182"/>
      <c r="AH503" s="182"/>
      <c r="AI503" s="182"/>
      <c r="AJ503" s="182"/>
      <c r="AK503" s="182"/>
      <c r="AL503" s="182"/>
      <c r="AM503" s="182"/>
      <c r="AN503" s="182"/>
      <c r="AO503" s="182"/>
      <c r="AP503" s="182"/>
      <c r="AQ503" s="182"/>
      <c r="AR503" s="182"/>
      <c r="AS503" s="182"/>
      <c r="AT503" s="182"/>
      <c r="AU503" s="182"/>
      <c r="AV503" s="182"/>
      <c r="AW503" s="182"/>
      <c r="AX503" s="182"/>
      <c r="AY503" s="182"/>
      <c r="AZ503" s="182"/>
    </row>
    <row r="504" spans="3:52" ht="16">
      <c r="C504" s="664" t="s">
        <v>178</v>
      </c>
      <c r="D504" s="291"/>
      <c r="E504" s="291"/>
      <c r="F504" s="291">
        <f>'Deuda a emitir'!F96</f>
        <v>0</v>
      </c>
      <c r="G504" s="291">
        <f>'Deuda a emitir'!G96</f>
        <v>0</v>
      </c>
      <c r="H504" s="291">
        <f>'Deuda a emitir'!H96</f>
        <v>0</v>
      </c>
      <c r="I504" s="291">
        <f>'Deuda a emitir'!I96</f>
        <v>0</v>
      </c>
      <c r="J504" s="291">
        <f>'Deuda a emitir'!J96</f>
        <v>0</v>
      </c>
      <c r="K504" s="291">
        <f>'Deuda a emitir'!K96</f>
        <v>0</v>
      </c>
      <c r="L504" s="291">
        <f>'Deuda a emitir'!L96</f>
        <v>0</v>
      </c>
      <c r="M504" s="291">
        <f>'Deuda a emitir'!M96</f>
        <v>0</v>
      </c>
      <c r="N504" s="291">
        <f>'Deuda a emitir'!N96</f>
        <v>0</v>
      </c>
      <c r="O504" s="291">
        <f>'Deuda a emitir'!O96</f>
        <v>0</v>
      </c>
      <c r="P504" s="291">
        <f>'Deuda a emitir'!P96</f>
        <v>0</v>
      </c>
      <c r="Q504" s="666">
        <f>'Deuda a emitir'!Q96</f>
        <v>0</v>
      </c>
      <c r="R504" s="182"/>
      <c r="S504" s="182"/>
      <c r="T504" s="182"/>
      <c r="U504" s="182"/>
      <c r="V504" s="182"/>
      <c r="W504" s="182"/>
      <c r="X504" s="182"/>
      <c r="Y504" s="182"/>
      <c r="Z504" s="182"/>
      <c r="AA504" s="182"/>
      <c r="AB504" s="182"/>
      <c r="AC504" s="182"/>
      <c r="AD504" s="182"/>
      <c r="AE504" s="182"/>
      <c r="AF504" s="182"/>
      <c r="AG504" s="182"/>
      <c r="AH504" s="182"/>
      <c r="AI504" s="182"/>
      <c r="AJ504" s="182"/>
      <c r="AK504" s="182"/>
      <c r="AL504" s="182"/>
      <c r="AM504" s="182"/>
      <c r="AN504" s="182"/>
      <c r="AO504" s="182"/>
      <c r="AP504" s="182"/>
      <c r="AQ504" s="182"/>
      <c r="AR504" s="182"/>
      <c r="AS504" s="182"/>
      <c r="AT504" s="182"/>
      <c r="AU504" s="182"/>
      <c r="AV504" s="182"/>
      <c r="AW504" s="182"/>
      <c r="AX504" s="182"/>
      <c r="AY504" s="182"/>
      <c r="AZ504" s="182"/>
    </row>
    <row r="505" spans="3:52" ht="16">
      <c r="C505" s="664" t="s">
        <v>179</v>
      </c>
      <c r="D505" s="328"/>
      <c r="E505" s="328"/>
      <c r="F505" s="328">
        <f>'Deuda a emitir'!F97</f>
        <v>10</v>
      </c>
      <c r="G505" s="328">
        <f>'Deuda a emitir'!G97</f>
        <v>10</v>
      </c>
      <c r="H505" s="328">
        <f>'Deuda a emitir'!H97</f>
        <v>10</v>
      </c>
      <c r="I505" s="328">
        <f>'Deuda a emitir'!I97</f>
        <v>10</v>
      </c>
      <c r="J505" s="328">
        <f>'Deuda a emitir'!J97</f>
        <v>10</v>
      </c>
      <c r="K505" s="328">
        <f>'Deuda a emitir'!K97</f>
        <v>10</v>
      </c>
      <c r="L505" s="328">
        <f>'Deuda a emitir'!L97</f>
        <v>10</v>
      </c>
      <c r="M505" s="328">
        <f>'Deuda a emitir'!M97</f>
        <v>10</v>
      </c>
      <c r="N505" s="328">
        <f>'Deuda a emitir'!N97</f>
        <v>10</v>
      </c>
      <c r="O505" s="328">
        <f>'Deuda a emitir'!O97</f>
        <v>10</v>
      </c>
      <c r="P505" s="328">
        <f>'Deuda a emitir'!P97</f>
        <v>10</v>
      </c>
      <c r="Q505" s="681">
        <f>'Deuda a emitir'!Q97</f>
        <v>10</v>
      </c>
      <c r="R505" s="182"/>
      <c r="S505" s="182"/>
      <c r="T505" s="182"/>
      <c r="U505" s="182"/>
      <c r="V505" s="182"/>
      <c r="W505" s="182"/>
      <c r="X505" s="182"/>
      <c r="Y505" s="182"/>
      <c r="Z505" s="182"/>
      <c r="AA505" s="182"/>
      <c r="AB505" s="182"/>
      <c r="AC505" s="182"/>
      <c r="AD505" s="182"/>
      <c r="AE505" s="182"/>
      <c r="AF505" s="182"/>
      <c r="AG505" s="182"/>
      <c r="AH505" s="182"/>
      <c r="AI505" s="182"/>
      <c r="AJ505" s="182"/>
      <c r="AK505" s="182"/>
      <c r="AL505" s="182"/>
      <c r="AM505" s="182"/>
      <c r="AN505" s="182"/>
      <c r="AO505" s="182"/>
      <c r="AP505" s="182"/>
      <c r="AQ505" s="182"/>
      <c r="AR505" s="182"/>
      <c r="AS505" s="182"/>
      <c r="AT505" s="182"/>
      <c r="AU505" s="182"/>
      <c r="AV505" s="182"/>
      <c r="AW505" s="182"/>
      <c r="AX505" s="182"/>
      <c r="AY505" s="182"/>
      <c r="AZ505" s="182"/>
    </row>
    <row r="506" spans="3:52" ht="16">
      <c r="C506" s="664" t="s">
        <v>72</v>
      </c>
      <c r="D506" s="328"/>
      <c r="E506" s="328"/>
      <c r="F506" s="328">
        <f t="shared" ref="F506:Q506" si="200">F502+F505</f>
        <v>2034</v>
      </c>
      <c r="G506" s="328">
        <f t="shared" si="200"/>
        <v>2035</v>
      </c>
      <c r="H506" s="328">
        <f t="shared" si="200"/>
        <v>2036</v>
      </c>
      <c r="I506" s="328">
        <f t="shared" si="200"/>
        <v>2037</v>
      </c>
      <c r="J506" s="328">
        <f t="shared" si="200"/>
        <v>2038</v>
      </c>
      <c r="K506" s="328">
        <f t="shared" si="200"/>
        <v>2039</v>
      </c>
      <c r="L506" s="328">
        <f t="shared" si="200"/>
        <v>2040</v>
      </c>
      <c r="M506" s="328">
        <f t="shared" si="200"/>
        <v>2041</v>
      </c>
      <c r="N506" s="328">
        <f t="shared" si="200"/>
        <v>2042</v>
      </c>
      <c r="O506" s="328">
        <f t="shared" si="200"/>
        <v>2043</v>
      </c>
      <c r="P506" s="328">
        <f t="shared" si="200"/>
        <v>2044</v>
      </c>
      <c r="Q506" s="681">
        <f t="shared" si="200"/>
        <v>2045</v>
      </c>
      <c r="R506" s="182"/>
      <c r="S506" s="182"/>
      <c r="T506" s="182"/>
      <c r="U506" s="182"/>
      <c r="V506" s="182"/>
      <c r="W506" s="182"/>
      <c r="X506" s="182"/>
      <c r="Y506" s="182"/>
      <c r="Z506" s="182"/>
      <c r="AA506" s="182"/>
      <c r="AB506" s="182"/>
      <c r="AC506" s="182"/>
      <c r="AD506" s="182"/>
      <c r="AE506" s="182"/>
      <c r="AF506" s="182"/>
      <c r="AG506" s="182"/>
      <c r="AH506" s="182"/>
      <c r="AI506" s="182"/>
      <c r="AJ506" s="182"/>
      <c r="AK506" s="182"/>
      <c r="AL506" s="182"/>
      <c r="AM506" s="182"/>
      <c r="AN506" s="182"/>
      <c r="AO506" s="182"/>
      <c r="AP506" s="182"/>
      <c r="AQ506" s="182"/>
      <c r="AR506" s="182"/>
      <c r="AS506" s="182"/>
      <c r="AT506" s="182"/>
      <c r="AU506" s="182"/>
      <c r="AV506" s="182"/>
      <c r="AW506" s="182"/>
      <c r="AX506" s="182"/>
      <c r="AY506" s="182"/>
      <c r="AZ506" s="182"/>
    </row>
    <row r="507" spans="3:52" ht="16">
      <c r="C507" s="664" t="s">
        <v>180</v>
      </c>
      <c r="D507" s="291"/>
      <c r="E507" s="291"/>
      <c r="F507" s="291">
        <f>'Deuda a emitir'!F88</f>
        <v>0</v>
      </c>
      <c r="G507" s="291">
        <f>'Deuda a emitir'!G88</f>
        <v>0</v>
      </c>
      <c r="H507" s="291">
        <f>'Deuda a emitir'!H88</f>
        <v>0</v>
      </c>
      <c r="I507" s="291">
        <f>'Deuda a emitir'!I88</f>
        <v>0</v>
      </c>
      <c r="J507" s="291">
        <f>'Deuda a emitir'!J88</f>
        <v>0</v>
      </c>
      <c r="K507" s="291">
        <f>'Deuda a emitir'!K88</f>
        <v>0</v>
      </c>
      <c r="L507" s="291">
        <f>'Deuda a emitir'!L88</f>
        <v>0</v>
      </c>
      <c r="M507" s="291">
        <f>'Deuda a emitir'!M88</f>
        <v>0</v>
      </c>
      <c r="N507" s="291">
        <f>'Deuda a emitir'!N88</f>
        <v>0</v>
      </c>
      <c r="O507" s="291">
        <f>'Deuda a emitir'!O88</f>
        <v>0</v>
      </c>
      <c r="P507" s="291">
        <f>'Deuda a emitir'!P88</f>
        <v>0</v>
      </c>
      <c r="Q507" s="666">
        <f>'Deuda a emitir'!Q88</f>
        <v>0</v>
      </c>
      <c r="R507" s="182"/>
      <c r="S507" s="182"/>
      <c r="T507" s="182"/>
      <c r="U507" s="182"/>
      <c r="V507" s="182"/>
      <c r="W507" s="182"/>
      <c r="X507" s="182"/>
      <c r="Y507" s="182"/>
      <c r="Z507" s="182"/>
      <c r="AA507" s="182"/>
      <c r="AB507" s="182"/>
      <c r="AC507" s="182"/>
      <c r="AD507" s="182"/>
      <c r="AE507" s="182"/>
      <c r="AF507" s="182"/>
      <c r="AG507" s="182"/>
      <c r="AH507" s="182"/>
      <c r="AI507" s="182"/>
      <c r="AJ507" s="182"/>
      <c r="AK507" s="182"/>
      <c r="AL507" s="182"/>
      <c r="AM507" s="182"/>
      <c r="AN507" s="182"/>
      <c r="AO507" s="182"/>
      <c r="AP507" s="182"/>
      <c r="AQ507" s="182"/>
      <c r="AR507" s="182"/>
      <c r="AS507" s="182"/>
      <c r="AT507" s="182"/>
      <c r="AU507" s="182"/>
      <c r="AV507" s="182"/>
      <c r="AW507" s="182"/>
      <c r="AX507" s="182"/>
      <c r="AY507" s="182"/>
      <c r="AZ507" s="182"/>
    </row>
    <row r="508" spans="3:52" ht="32">
      <c r="C508" s="664" t="s">
        <v>204</v>
      </c>
      <c r="D508" s="283"/>
      <c r="E508" s="283"/>
      <c r="F508" s="283">
        <f t="shared" ref="F508:Q508" si="201">F$463*F507</f>
        <v>0</v>
      </c>
      <c r="G508" s="283" t="e">
        <f t="shared" si="201"/>
        <v>#DIV/0!</v>
      </c>
      <c r="H508" s="283" t="e">
        <f t="shared" si="201"/>
        <v>#DIV/0!</v>
      </c>
      <c r="I508" s="283" t="e">
        <f t="shared" si="201"/>
        <v>#DIV/0!</v>
      </c>
      <c r="J508" s="283" t="e">
        <f t="shared" si="201"/>
        <v>#DIV/0!</v>
      </c>
      <c r="K508" s="283" t="e">
        <f t="shared" si="201"/>
        <v>#DIV/0!</v>
      </c>
      <c r="L508" s="283" t="e">
        <f t="shared" si="201"/>
        <v>#DIV/0!</v>
      </c>
      <c r="M508" s="283" t="e">
        <f t="shared" si="201"/>
        <v>#DIV/0!</v>
      </c>
      <c r="N508" s="283" t="e">
        <f t="shared" si="201"/>
        <v>#DIV/0!</v>
      </c>
      <c r="O508" s="283" t="e">
        <f t="shared" si="201"/>
        <v>#DIV/0!</v>
      </c>
      <c r="P508" s="283" t="e">
        <f t="shared" si="201"/>
        <v>#DIV/0!</v>
      </c>
      <c r="Q508" s="667" t="e">
        <f t="shared" si="201"/>
        <v>#DIV/0!</v>
      </c>
      <c r="R508" s="182"/>
      <c r="S508" s="182"/>
      <c r="T508" s="182"/>
      <c r="U508" s="182"/>
      <c r="V508" s="182"/>
      <c r="W508" s="182"/>
      <c r="X508" s="182"/>
      <c r="Y508" s="182"/>
      <c r="Z508" s="182"/>
      <c r="AA508" s="182"/>
      <c r="AB508" s="182"/>
      <c r="AC508" s="182"/>
      <c r="AD508" s="182"/>
      <c r="AE508" s="182"/>
      <c r="AF508" s="182"/>
      <c r="AG508" s="182"/>
      <c r="AH508" s="182"/>
      <c r="AI508" s="182"/>
      <c r="AJ508" s="182"/>
      <c r="AK508" s="182"/>
      <c r="AL508" s="182"/>
      <c r="AM508" s="182"/>
      <c r="AN508" s="182"/>
      <c r="AO508" s="182"/>
      <c r="AP508" s="182"/>
      <c r="AQ508" s="182"/>
      <c r="AR508" s="182"/>
      <c r="AS508" s="182"/>
      <c r="AT508" s="182"/>
      <c r="AU508" s="182"/>
      <c r="AV508" s="182"/>
      <c r="AW508" s="182"/>
      <c r="AX508" s="182"/>
      <c r="AY508" s="182"/>
      <c r="AZ508" s="182"/>
    </row>
    <row r="509" spans="3:52" ht="32">
      <c r="C509" s="664" t="s">
        <v>171</v>
      </c>
      <c r="D509" s="283"/>
      <c r="E509" s="283"/>
      <c r="F509" s="283">
        <f t="shared" ref="F509:Q509" si="202">F$464*F507</f>
        <v>0</v>
      </c>
      <c r="G509" s="283">
        <f t="shared" si="202"/>
        <v>0</v>
      </c>
      <c r="H509" s="283">
        <f t="shared" si="202"/>
        <v>0</v>
      </c>
      <c r="I509" s="283">
        <f t="shared" si="202"/>
        <v>0</v>
      </c>
      <c r="J509" s="283">
        <f t="shared" si="202"/>
        <v>0</v>
      </c>
      <c r="K509" s="283">
        <f t="shared" si="202"/>
        <v>0</v>
      </c>
      <c r="L509" s="283">
        <f t="shared" si="202"/>
        <v>0</v>
      </c>
      <c r="M509" s="283">
        <f t="shared" si="202"/>
        <v>0</v>
      </c>
      <c r="N509" s="283">
        <f t="shared" si="202"/>
        <v>0</v>
      </c>
      <c r="O509" s="283">
        <f t="shared" si="202"/>
        <v>0</v>
      </c>
      <c r="P509" s="283">
        <f t="shared" si="202"/>
        <v>0</v>
      </c>
      <c r="Q509" s="667">
        <f t="shared" si="202"/>
        <v>0</v>
      </c>
      <c r="R509" s="182"/>
      <c r="S509" s="182"/>
      <c r="T509" s="182"/>
      <c r="U509" s="182"/>
      <c r="V509" s="182"/>
      <c r="W509" s="182"/>
      <c r="X509" s="182"/>
      <c r="Y509" s="182"/>
      <c r="Z509" s="182"/>
      <c r="AA509" s="182"/>
      <c r="AB509" s="182"/>
      <c r="AC509" s="182"/>
      <c r="AD509" s="182"/>
      <c r="AE509" s="182"/>
      <c r="AF509" s="182"/>
      <c r="AG509" s="182"/>
      <c r="AH509" s="182"/>
      <c r="AI509" s="182"/>
      <c r="AJ509" s="182"/>
      <c r="AK509" s="182"/>
      <c r="AL509" s="182"/>
      <c r="AM509" s="182"/>
      <c r="AN509" s="182"/>
      <c r="AO509" s="182"/>
      <c r="AP509" s="182"/>
      <c r="AQ509" s="182"/>
      <c r="AR509" s="182"/>
      <c r="AS509" s="182"/>
      <c r="AT509" s="182"/>
      <c r="AU509" s="182"/>
      <c r="AV509" s="182"/>
      <c r="AW509" s="182"/>
      <c r="AX509" s="182"/>
      <c r="AY509" s="182"/>
      <c r="AZ509" s="182"/>
    </row>
    <row r="510" spans="3:52" ht="16">
      <c r="C510" s="668" t="s">
        <v>212</v>
      </c>
      <c r="D510" s="37"/>
      <c r="E510" s="37"/>
      <c r="F510" s="37">
        <f t="shared" ref="F510:P510" si="203">SUM(F508:F509)</f>
        <v>0</v>
      </c>
      <c r="G510" s="37" t="e">
        <f t="shared" si="203"/>
        <v>#DIV/0!</v>
      </c>
      <c r="H510" s="37" t="e">
        <f t="shared" si="203"/>
        <v>#DIV/0!</v>
      </c>
      <c r="I510" s="37" t="e">
        <f t="shared" si="203"/>
        <v>#DIV/0!</v>
      </c>
      <c r="J510" s="37" t="e">
        <f t="shared" si="203"/>
        <v>#DIV/0!</v>
      </c>
      <c r="K510" s="37" t="e">
        <f t="shared" si="203"/>
        <v>#DIV/0!</v>
      </c>
      <c r="L510" s="37" t="e">
        <f t="shared" si="203"/>
        <v>#DIV/0!</v>
      </c>
      <c r="M510" s="37" t="e">
        <f t="shared" si="203"/>
        <v>#DIV/0!</v>
      </c>
      <c r="N510" s="37" t="e">
        <f t="shared" si="203"/>
        <v>#DIV/0!</v>
      </c>
      <c r="O510" s="37" t="e">
        <f t="shared" si="203"/>
        <v>#DIV/0!</v>
      </c>
      <c r="P510" s="37" t="e">
        <f t="shared" si="203"/>
        <v>#DIV/0!</v>
      </c>
      <c r="Q510" s="669" t="e">
        <f t="shared" ref="Q510" si="204">SUM(Q508:Q509)</f>
        <v>#DIV/0!</v>
      </c>
      <c r="R510" s="182"/>
      <c r="S510" s="182"/>
      <c r="T510" s="182"/>
      <c r="U510" s="182"/>
      <c r="V510" s="182"/>
      <c r="W510" s="182"/>
      <c r="X510" s="182"/>
      <c r="Y510" s="182"/>
      <c r="Z510" s="182"/>
      <c r="AA510" s="182"/>
      <c r="AB510" s="182"/>
      <c r="AC510" s="182"/>
      <c r="AD510" s="182"/>
      <c r="AE510" s="182"/>
      <c r="AF510" s="182"/>
      <c r="AG510" s="182"/>
      <c r="AH510" s="182"/>
      <c r="AI510" s="182"/>
      <c r="AJ510" s="182"/>
      <c r="AK510" s="182"/>
      <c r="AL510" s="182"/>
      <c r="AM510" s="182"/>
      <c r="AN510" s="182"/>
      <c r="AO510" s="182"/>
      <c r="AP510" s="182"/>
      <c r="AQ510" s="182"/>
      <c r="AR510" s="182"/>
      <c r="AS510" s="182"/>
      <c r="AT510" s="182"/>
      <c r="AU510" s="182"/>
      <c r="AV510" s="182"/>
      <c r="AW510" s="182"/>
      <c r="AX510" s="182"/>
      <c r="AY510" s="182"/>
      <c r="AZ510" s="182"/>
    </row>
    <row r="511" spans="3:52" ht="16">
      <c r="C511" s="686" t="s">
        <v>213</v>
      </c>
      <c r="D511" s="332"/>
      <c r="E511" s="332"/>
      <c r="F511" s="332" t="e">
        <f t="shared" ref="F511:Q511" si="205">F510/F$462</f>
        <v>#DIV/0!</v>
      </c>
      <c r="G511" s="332" t="e">
        <f t="shared" si="205"/>
        <v>#DIV/0!</v>
      </c>
      <c r="H511" s="332" t="e">
        <f t="shared" si="205"/>
        <v>#DIV/0!</v>
      </c>
      <c r="I511" s="332" t="e">
        <f t="shared" si="205"/>
        <v>#DIV/0!</v>
      </c>
      <c r="J511" s="332" t="e">
        <f t="shared" si="205"/>
        <v>#DIV/0!</v>
      </c>
      <c r="K511" s="332" t="e">
        <f t="shared" si="205"/>
        <v>#DIV/0!</v>
      </c>
      <c r="L511" s="332" t="e">
        <f t="shared" si="205"/>
        <v>#DIV/0!</v>
      </c>
      <c r="M511" s="332" t="e">
        <f t="shared" si="205"/>
        <v>#DIV/0!</v>
      </c>
      <c r="N511" s="332" t="e">
        <f t="shared" si="205"/>
        <v>#DIV/0!</v>
      </c>
      <c r="O511" s="332" t="e">
        <f t="shared" si="205"/>
        <v>#DIV/0!</v>
      </c>
      <c r="P511" s="332" t="e">
        <f t="shared" si="205"/>
        <v>#DIV/0!</v>
      </c>
      <c r="Q511" s="698" t="e">
        <f t="shared" si="205"/>
        <v>#DIV/0!</v>
      </c>
      <c r="R511" s="333"/>
      <c r="S511" s="333"/>
      <c r="T511" s="333"/>
      <c r="U511" s="333"/>
      <c r="V511" s="333"/>
      <c r="W511" s="333"/>
      <c r="X511" s="333"/>
      <c r="Y511" s="333"/>
      <c r="Z511" s="333"/>
      <c r="AA511" s="333"/>
      <c r="AB511" s="333"/>
      <c r="AC511" s="333"/>
      <c r="AD511" s="333"/>
      <c r="AE511" s="333"/>
      <c r="AF511" s="333"/>
      <c r="AG511" s="333"/>
      <c r="AH511" s="333"/>
      <c r="AI511" s="333"/>
      <c r="AJ511" s="333"/>
      <c r="AK511" s="333"/>
      <c r="AL511" s="333"/>
      <c r="AM511" s="333"/>
      <c r="AN511" s="333"/>
      <c r="AO511" s="333"/>
      <c r="AP511" s="333"/>
      <c r="AQ511" s="333"/>
      <c r="AR511" s="333"/>
      <c r="AS511" s="333"/>
      <c r="AT511" s="333"/>
      <c r="AU511" s="333"/>
      <c r="AV511" s="333"/>
      <c r="AW511" s="333"/>
      <c r="AX511" s="333"/>
      <c r="AY511" s="333"/>
      <c r="AZ511" s="333"/>
    </row>
    <row r="512" spans="3:52" ht="16">
      <c r="C512" s="668" t="s">
        <v>214</v>
      </c>
      <c r="D512" s="37"/>
      <c r="E512" s="37"/>
      <c r="F512" s="37" t="e">
        <f t="shared" ref="F512:Q512" si="206">F511*HLOOKUP((F502+F505),$E461:$AZ462,2,FALSE)</f>
        <v>#DIV/0!</v>
      </c>
      <c r="G512" s="37" t="e">
        <f t="shared" si="206"/>
        <v>#DIV/0!</v>
      </c>
      <c r="H512" s="37" t="e">
        <f t="shared" si="206"/>
        <v>#DIV/0!</v>
      </c>
      <c r="I512" s="37" t="e">
        <f t="shared" si="206"/>
        <v>#DIV/0!</v>
      </c>
      <c r="J512" s="37" t="e">
        <f t="shared" si="206"/>
        <v>#DIV/0!</v>
      </c>
      <c r="K512" s="37" t="e">
        <f t="shared" si="206"/>
        <v>#DIV/0!</v>
      </c>
      <c r="L512" s="37" t="e">
        <f t="shared" si="206"/>
        <v>#DIV/0!</v>
      </c>
      <c r="M512" s="37" t="e">
        <f t="shared" si="206"/>
        <v>#DIV/0!</v>
      </c>
      <c r="N512" s="37" t="e">
        <f t="shared" si="206"/>
        <v>#DIV/0!</v>
      </c>
      <c r="O512" s="37" t="e">
        <f t="shared" si="206"/>
        <v>#DIV/0!</v>
      </c>
      <c r="P512" s="37" t="e">
        <f t="shared" si="206"/>
        <v>#DIV/0!</v>
      </c>
      <c r="Q512" s="669" t="e">
        <f t="shared" si="206"/>
        <v>#DIV/0!</v>
      </c>
      <c r="R512" s="182"/>
      <c r="S512" s="182"/>
      <c r="T512" s="182"/>
      <c r="U512" s="182"/>
      <c r="V512" s="182"/>
      <c r="W512" s="182"/>
      <c r="X512" s="182"/>
      <c r="Y512" s="182"/>
      <c r="Z512" s="182"/>
      <c r="AA512" s="182"/>
      <c r="AB512" s="182"/>
      <c r="AC512" s="182"/>
      <c r="AD512" s="182"/>
      <c r="AE512" s="182"/>
      <c r="AF512" s="182"/>
      <c r="AG512" s="182"/>
      <c r="AH512" s="182"/>
      <c r="AI512" s="182"/>
      <c r="AJ512" s="182"/>
      <c r="AK512" s="182"/>
      <c r="AL512" s="182"/>
      <c r="AM512" s="182"/>
      <c r="AN512" s="182"/>
      <c r="AO512" s="182"/>
      <c r="AP512" s="182"/>
      <c r="AQ512" s="182"/>
      <c r="AR512" s="182"/>
      <c r="AS512" s="182"/>
      <c r="AT512" s="182"/>
      <c r="AU512" s="182"/>
      <c r="AV512" s="182"/>
      <c r="AW512" s="182"/>
      <c r="AX512" s="182"/>
      <c r="AY512" s="182"/>
      <c r="AZ512" s="182"/>
    </row>
    <row r="513" spans="3:52">
      <c r="C513" s="664"/>
      <c r="D513" s="283"/>
      <c r="E513" s="283"/>
      <c r="F513" s="283"/>
      <c r="G513" s="283"/>
      <c r="H513" s="283"/>
      <c r="I513" s="283"/>
      <c r="J513" s="283"/>
      <c r="K513" s="283"/>
      <c r="L513" s="283"/>
      <c r="M513" s="283"/>
      <c r="N513" s="283"/>
      <c r="O513" s="283"/>
      <c r="P513" s="283"/>
      <c r="Q513" s="667"/>
      <c r="R513" s="182"/>
      <c r="S513" s="182"/>
      <c r="T513" s="182"/>
      <c r="U513" s="182"/>
      <c r="V513" s="182"/>
      <c r="W513" s="182"/>
      <c r="X513" s="182"/>
      <c r="Y513" s="182"/>
      <c r="Z513" s="182"/>
      <c r="AA513" s="182"/>
      <c r="AB513" s="182"/>
      <c r="AC513" s="182"/>
      <c r="AD513" s="182"/>
      <c r="AE513" s="182"/>
      <c r="AF513" s="182"/>
      <c r="AG513" s="182"/>
      <c r="AH513" s="182"/>
      <c r="AI513" s="182"/>
      <c r="AJ513" s="182"/>
      <c r="AK513" s="182"/>
      <c r="AL513" s="182"/>
      <c r="AM513" s="182"/>
      <c r="AN513" s="182"/>
      <c r="AO513" s="182"/>
      <c r="AP513" s="182"/>
      <c r="AQ513" s="182"/>
      <c r="AR513" s="182"/>
      <c r="AS513" s="182"/>
      <c r="AT513" s="182"/>
      <c r="AU513" s="182"/>
      <c r="AV513" s="182"/>
      <c r="AW513" s="182"/>
      <c r="AX513" s="182"/>
      <c r="AY513" s="182"/>
      <c r="AZ513" s="182"/>
    </row>
    <row r="514" spans="3:52" ht="16">
      <c r="C514" s="664" t="s">
        <v>184</v>
      </c>
      <c r="D514" s="283"/>
      <c r="E514" s="283"/>
      <c r="F514" s="283" t="e">
        <f t="shared" ref="F514:Q514" si="207">-NPV(F504,F510,F517:F525,(F526-F512))</f>
        <v>#DIV/0!</v>
      </c>
      <c r="G514" s="283" t="e">
        <f t="shared" si="207"/>
        <v>#DIV/0!</v>
      </c>
      <c r="H514" s="283" t="e">
        <f t="shared" si="207"/>
        <v>#DIV/0!</v>
      </c>
      <c r="I514" s="283" t="e">
        <f t="shared" si="207"/>
        <v>#DIV/0!</v>
      </c>
      <c r="J514" s="283" t="e">
        <f t="shared" si="207"/>
        <v>#DIV/0!</v>
      </c>
      <c r="K514" s="283" t="e">
        <f t="shared" si="207"/>
        <v>#DIV/0!</v>
      </c>
      <c r="L514" s="283" t="e">
        <f t="shared" si="207"/>
        <v>#DIV/0!</v>
      </c>
      <c r="M514" s="283" t="e">
        <f t="shared" si="207"/>
        <v>#DIV/0!</v>
      </c>
      <c r="N514" s="283" t="e">
        <f t="shared" si="207"/>
        <v>#DIV/0!</v>
      </c>
      <c r="O514" s="283" t="e">
        <f t="shared" si="207"/>
        <v>#DIV/0!</v>
      </c>
      <c r="P514" s="283" t="e">
        <f t="shared" si="207"/>
        <v>#DIV/0!</v>
      </c>
      <c r="Q514" s="667" t="e">
        <f t="shared" si="207"/>
        <v>#DIV/0!</v>
      </c>
      <c r="R514" s="283"/>
      <c r="S514" s="283"/>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82"/>
      <c r="AR514" s="182"/>
      <c r="AS514" s="182"/>
      <c r="AT514" s="182"/>
      <c r="AU514" s="182"/>
      <c r="AV514" s="182"/>
      <c r="AW514" s="182"/>
      <c r="AX514" s="182"/>
      <c r="AY514" s="182"/>
      <c r="AZ514" s="182"/>
    </row>
    <row r="515" spans="3:52">
      <c r="C515" s="700"/>
      <c r="D515" s="283"/>
      <c r="E515" s="283"/>
      <c r="F515" s="283"/>
      <c r="G515" s="283"/>
      <c r="H515" s="283"/>
      <c r="I515" s="283"/>
      <c r="J515" s="283"/>
      <c r="K515" s="283"/>
      <c r="L515" s="283"/>
      <c r="M515" s="283"/>
      <c r="N515" s="283"/>
      <c r="O515" s="283"/>
      <c r="P515" s="283"/>
      <c r="Q515" s="667"/>
      <c r="R515" s="182"/>
      <c r="S515" s="182"/>
      <c r="T515" s="182"/>
      <c r="U515" s="182"/>
      <c r="V515" s="182"/>
      <c r="W515" s="182"/>
      <c r="X515" s="182"/>
      <c r="Y515" s="182"/>
      <c r="Z515" s="182"/>
      <c r="AA515" s="182"/>
      <c r="AB515" s="182"/>
      <c r="AC515" s="182"/>
      <c r="AD515" s="182"/>
      <c r="AE515" s="182"/>
      <c r="AF515" s="182"/>
      <c r="AG515" s="182"/>
      <c r="AH515" s="182"/>
      <c r="AI515" s="182"/>
      <c r="AJ515" s="182"/>
      <c r="AK515" s="182"/>
      <c r="AL515" s="182"/>
      <c r="AM515" s="182"/>
      <c r="AN515" s="182"/>
      <c r="AO515" s="182"/>
      <c r="AP515" s="182"/>
      <c r="AQ515" s="182"/>
      <c r="AR515" s="182"/>
      <c r="AS515" s="182"/>
      <c r="AT515" s="182"/>
      <c r="AU515" s="182"/>
      <c r="AV515" s="182"/>
      <c r="AW515" s="182"/>
      <c r="AX515" s="182"/>
      <c r="AY515" s="182"/>
      <c r="AZ515" s="182"/>
    </row>
    <row r="516" spans="3:52">
      <c r="C516" s="664">
        <v>0</v>
      </c>
      <c r="D516" s="283"/>
      <c r="E516" s="283"/>
      <c r="F516" s="283"/>
      <c r="G516" s="283"/>
      <c r="H516" s="283"/>
      <c r="I516" s="283"/>
      <c r="J516" s="283"/>
      <c r="K516" s="283"/>
      <c r="L516" s="283"/>
      <c r="M516" s="283"/>
      <c r="N516" s="283"/>
      <c r="O516" s="283"/>
      <c r="P516" s="283"/>
      <c r="Q516" s="667"/>
      <c r="R516" s="182"/>
      <c r="S516" s="182"/>
      <c r="T516" s="182"/>
      <c r="U516" s="182"/>
      <c r="V516" s="182"/>
      <c r="W516" s="182"/>
      <c r="X516" s="182"/>
      <c r="Y516" s="182"/>
      <c r="Z516" s="182"/>
      <c r="AA516" s="182"/>
      <c r="AB516" s="182"/>
      <c r="AC516" s="182"/>
      <c r="AD516" s="182"/>
      <c r="AE516" s="182"/>
      <c r="AF516" s="182"/>
      <c r="AG516" s="182"/>
      <c r="AH516" s="182"/>
      <c r="AI516" s="182"/>
      <c r="AJ516" s="182"/>
      <c r="AK516" s="182"/>
      <c r="AL516" s="182"/>
      <c r="AM516" s="182"/>
      <c r="AN516" s="182"/>
      <c r="AO516" s="182"/>
      <c r="AP516" s="182"/>
      <c r="AQ516" s="182"/>
      <c r="AR516" s="182"/>
      <c r="AS516" s="182"/>
      <c r="AT516" s="182"/>
      <c r="AU516" s="182"/>
      <c r="AV516" s="182"/>
      <c r="AW516" s="182"/>
      <c r="AX516" s="182"/>
      <c r="AY516" s="182"/>
      <c r="AZ516" s="182"/>
    </row>
    <row r="517" spans="3:52">
      <c r="C517" s="664">
        <v>1</v>
      </c>
      <c r="D517" s="283"/>
      <c r="E517" s="283"/>
      <c r="F517" s="313" t="e">
        <f t="shared" ref="F517:Q526" si="208">-F$511*F$503*HLOOKUP((F$502+$C517),$E$461:$AZ$462,2,FALSE)</f>
        <v>#DIV/0!</v>
      </c>
      <c r="G517" s="313" t="e">
        <f t="shared" si="208"/>
        <v>#DIV/0!</v>
      </c>
      <c r="H517" s="283" t="e">
        <f t="shared" si="208"/>
        <v>#DIV/0!</v>
      </c>
      <c r="I517" s="283" t="e">
        <f t="shared" si="208"/>
        <v>#DIV/0!</v>
      </c>
      <c r="J517" s="283" t="e">
        <f t="shared" si="208"/>
        <v>#DIV/0!</v>
      </c>
      <c r="K517" s="283" t="e">
        <f t="shared" si="208"/>
        <v>#DIV/0!</v>
      </c>
      <c r="L517" s="283" t="e">
        <f t="shared" si="208"/>
        <v>#DIV/0!</v>
      </c>
      <c r="M517" s="283" t="e">
        <f t="shared" si="208"/>
        <v>#DIV/0!</v>
      </c>
      <c r="N517" s="283" t="e">
        <f t="shared" si="208"/>
        <v>#DIV/0!</v>
      </c>
      <c r="O517" s="283" t="e">
        <f t="shared" si="208"/>
        <v>#DIV/0!</v>
      </c>
      <c r="P517" s="283" t="e">
        <f t="shared" si="208"/>
        <v>#DIV/0!</v>
      </c>
      <c r="Q517" s="667" t="e">
        <f t="shared" si="208"/>
        <v>#DIV/0!</v>
      </c>
      <c r="R517" s="182"/>
      <c r="S517" s="182"/>
      <c r="T517" s="182"/>
      <c r="U517" s="182"/>
      <c r="V517" s="182"/>
      <c r="W517" s="182"/>
      <c r="X517" s="182"/>
      <c r="Y517" s="182"/>
      <c r="Z517" s="182"/>
      <c r="AA517" s="182"/>
      <c r="AB517" s="182"/>
      <c r="AC517" s="182"/>
      <c r="AD517" s="182"/>
      <c r="AE517" s="182"/>
      <c r="AF517" s="182"/>
      <c r="AG517" s="182"/>
      <c r="AH517" s="182"/>
      <c r="AI517" s="182"/>
      <c r="AJ517" s="182"/>
      <c r="AK517" s="182"/>
      <c r="AL517" s="182"/>
      <c r="AM517" s="182"/>
      <c r="AN517" s="182"/>
      <c r="AO517" s="182"/>
      <c r="AP517" s="182"/>
      <c r="AQ517" s="182"/>
      <c r="AR517" s="182"/>
      <c r="AS517" s="182"/>
      <c r="AT517" s="182"/>
      <c r="AU517" s="182"/>
      <c r="AV517" s="182"/>
      <c r="AW517" s="182"/>
      <c r="AX517" s="182"/>
      <c r="AY517" s="182"/>
      <c r="AZ517" s="182"/>
    </row>
    <row r="518" spans="3:52">
      <c r="C518" s="664">
        <v>2</v>
      </c>
      <c r="D518" s="283"/>
      <c r="E518" s="283"/>
      <c r="F518" s="283" t="e">
        <f t="shared" si="208"/>
        <v>#DIV/0!</v>
      </c>
      <c r="G518" s="283" t="e">
        <f t="shared" si="208"/>
        <v>#DIV/0!</v>
      </c>
      <c r="H518" s="283" t="e">
        <f t="shared" si="208"/>
        <v>#DIV/0!</v>
      </c>
      <c r="I518" s="283" t="e">
        <f t="shared" si="208"/>
        <v>#DIV/0!</v>
      </c>
      <c r="J518" s="283" t="e">
        <f t="shared" si="208"/>
        <v>#DIV/0!</v>
      </c>
      <c r="K518" s="283" t="e">
        <f t="shared" si="208"/>
        <v>#DIV/0!</v>
      </c>
      <c r="L518" s="283" t="e">
        <f t="shared" si="208"/>
        <v>#DIV/0!</v>
      </c>
      <c r="M518" s="283" t="e">
        <f t="shared" si="208"/>
        <v>#DIV/0!</v>
      </c>
      <c r="N518" s="283" t="e">
        <f t="shared" si="208"/>
        <v>#DIV/0!</v>
      </c>
      <c r="O518" s="283" t="e">
        <f t="shared" si="208"/>
        <v>#DIV/0!</v>
      </c>
      <c r="P518" s="283" t="e">
        <f t="shared" si="208"/>
        <v>#DIV/0!</v>
      </c>
      <c r="Q518" s="667" t="e">
        <f t="shared" si="208"/>
        <v>#DIV/0!</v>
      </c>
      <c r="R518" s="182"/>
      <c r="S518" s="182"/>
      <c r="T518" s="182"/>
      <c r="U518" s="182"/>
      <c r="V518" s="182"/>
      <c r="W518" s="182"/>
      <c r="X518" s="182"/>
      <c r="Y518" s="182"/>
      <c r="Z518" s="182"/>
      <c r="AA518" s="182"/>
      <c r="AB518" s="182"/>
      <c r="AC518" s="182"/>
      <c r="AD518" s="182"/>
      <c r="AE518" s="182"/>
      <c r="AF518" s="182"/>
      <c r="AG518" s="182"/>
      <c r="AH518" s="182"/>
      <c r="AI518" s="182"/>
      <c r="AJ518" s="182"/>
      <c r="AK518" s="182"/>
      <c r="AL518" s="182"/>
      <c r="AM518" s="182"/>
      <c r="AN518" s="182"/>
      <c r="AO518" s="182"/>
      <c r="AP518" s="182"/>
      <c r="AQ518" s="182"/>
      <c r="AR518" s="182"/>
      <c r="AS518" s="182"/>
      <c r="AT518" s="182"/>
      <c r="AU518" s="182"/>
      <c r="AV518" s="182"/>
      <c r="AW518" s="182"/>
      <c r="AX518" s="182"/>
      <c r="AY518" s="182"/>
      <c r="AZ518" s="182"/>
    </row>
    <row r="519" spans="3:52">
      <c r="C519" s="664">
        <v>3</v>
      </c>
      <c r="D519" s="283"/>
      <c r="E519" s="283"/>
      <c r="F519" s="283" t="e">
        <f t="shared" si="208"/>
        <v>#DIV/0!</v>
      </c>
      <c r="G519" s="283" t="e">
        <f t="shared" si="208"/>
        <v>#DIV/0!</v>
      </c>
      <c r="H519" s="283" t="e">
        <f t="shared" si="208"/>
        <v>#DIV/0!</v>
      </c>
      <c r="I519" s="283" t="e">
        <f t="shared" si="208"/>
        <v>#DIV/0!</v>
      </c>
      <c r="J519" s="283" t="e">
        <f t="shared" si="208"/>
        <v>#DIV/0!</v>
      </c>
      <c r="K519" s="283" t="e">
        <f t="shared" si="208"/>
        <v>#DIV/0!</v>
      </c>
      <c r="L519" s="283" t="e">
        <f t="shared" si="208"/>
        <v>#DIV/0!</v>
      </c>
      <c r="M519" s="283" t="e">
        <f t="shared" si="208"/>
        <v>#DIV/0!</v>
      </c>
      <c r="N519" s="283" t="e">
        <f t="shared" si="208"/>
        <v>#DIV/0!</v>
      </c>
      <c r="O519" s="283" t="e">
        <f t="shared" si="208"/>
        <v>#DIV/0!</v>
      </c>
      <c r="P519" s="283" t="e">
        <f t="shared" si="208"/>
        <v>#DIV/0!</v>
      </c>
      <c r="Q519" s="667" t="e">
        <f t="shared" si="208"/>
        <v>#DIV/0!</v>
      </c>
      <c r="R519" s="182"/>
      <c r="S519" s="182"/>
      <c r="T519" s="182"/>
      <c r="U519" s="182"/>
      <c r="V519" s="182"/>
      <c r="W519" s="182"/>
      <c r="X519" s="182"/>
      <c r="Y519" s="182"/>
      <c r="Z519" s="182"/>
      <c r="AA519" s="182"/>
      <c r="AB519" s="182"/>
      <c r="AC519" s="182"/>
      <c r="AD519" s="182"/>
      <c r="AE519" s="182"/>
      <c r="AF519" s="182"/>
      <c r="AG519" s="182"/>
      <c r="AH519" s="182"/>
      <c r="AI519" s="182"/>
      <c r="AJ519" s="182"/>
      <c r="AK519" s="182"/>
      <c r="AL519" s="182"/>
      <c r="AM519" s="182"/>
      <c r="AN519" s="182"/>
      <c r="AO519" s="182"/>
      <c r="AP519" s="182"/>
      <c r="AQ519" s="182"/>
      <c r="AR519" s="182"/>
      <c r="AS519" s="182"/>
      <c r="AT519" s="182"/>
      <c r="AU519" s="182"/>
      <c r="AV519" s="182"/>
      <c r="AW519" s="182"/>
      <c r="AX519" s="182"/>
      <c r="AY519" s="182"/>
      <c r="AZ519" s="182"/>
    </row>
    <row r="520" spans="3:52">
      <c r="C520" s="664">
        <v>4</v>
      </c>
      <c r="D520" s="283"/>
      <c r="E520" s="283"/>
      <c r="F520" s="283" t="e">
        <f t="shared" si="208"/>
        <v>#DIV/0!</v>
      </c>
      <c r="G520" s="283" t="e">
        <f t="shared" si="208"/>
        <v>#DIV/0!</v>
      </c>
      <c r="H520" s="283" t="e">
        <f t="shared" si="208"/>
        <v>#DIV/0!</v>
      </c>
      <c r="I520" s="283" t="e">
        <f t="shared" si="208"/>
        <v>#DIV/0!</v>
      </c>
      <c r="J520" s="283" t="e">
        <f t="shared" si="208"/>
        <v>#DIV/0!</v>
      </c>
      <c r="K520" s="283" t="e">
        <f t="shared" si="208"/>
        <v>#DIV/0!</v>
      </c>
      <c r="L520" s="283" t="e">
        <f t="shared" si="208"/>
        <v>#DIV/0!</v>
      </c>
      <c r="M520" s="283" t="e">
        <f t="shared" si="208"/>
        <v>#DIV/0!</v>
      </c>
      <c r="N520" s="283" t="e">
        <f t="shared" si="208"/>
        <v>#DIV/0!</v>
      </c>
      <c r="O520" s="283" t="e">
        <f t="shared" si="208"/>
        <v>#DIV/0!</v>
      </c>
      <c r="P520" s="283" t="e">
        <f t="shared" si="208"/>
        <v>#DIV/0!</v>
      </c>
      <c r="Q520" s="667" t="e">
        <f t="shared" si="208"/>
        <v>#DIV/0!</v>
      </c>
      <c r="R520" s="182"/>
      <c r="S520" s="182"/>
      <c r="T520" s="182"/>
      <c r="U520" s="182"/>
      <c r="V520" s="182"/>
      <c r="W520" s="182"/>
      <c r="X520" s="182"/>
      <c r="Y520" s="182"/>
      <c r="Z520" s="182"/>
      <c r="AA520" s="182"/>
      <c r="AB520" s="182"/>
      <c r="AC520" s="182"/>
      <c r="AD520" s="182"/>
      <c r="AE520" s="182"/>
      <c r="AF520" s="182"/>
      <c r="AG520" s="182"/>
      <c r="AH520" s="182"/>
      <c r="AI520" s="182"/>
      <c r="AJ520" s="182"/>
      <c r="AK520" s="182"/>
      <c r="AL520" s="182"/>
      <c r="AM520" s="182"/>
      <c r="AN520" s="182"/>
      <c r="AO520" s="182"/>
      <c r="AP520" s="182"/>
      <c r="AQ520" s="182"/>
      <c r="AR520" s="182"/>
      <c r="AS520" s="182"/>
      <c r="AT520" s="182"/>
      <c r="AU520" s="182"/>
      <c r="AV520" s="182"/>
      <c r="AW520" s="182"/>
      <c r="AX520" s="182"/>
      <c r="AY520" s="182"/>
      <c r="AZ520" s="182"/>
    </row>
    <row r="521" spans="3:52">
      <c r="C521" s="664">
        <v>5</v>
      </c>
      <c r="D521" s="283"/>
      <c r="E521" s="283"/>
      <c r="F521" s="283" t="e">
        <f t="shared" si="208"/>
        <v>#DIV/0!</v>
      </c>
      <c r="G521" s="283" t="e">
        <f t="shared" si="208"/>
        <v>#DIV/0!</v>
      </c>
      <c r="H521" s="283" t="e">
        <f t="shared" si="208"/>
        <v>#DIV/0!</v>
      </c>
      <c r="I521" s="283" t="e">
        <f t="shared" si="208"/>
        <v>#DIV/0!</v>
      </c>
      <c r="J521" s="283" t="e">
        <f t="shared" si="208"/>
        <v>#DIV/0!</v>
      </c>
      <c r="K521" s="283" t="e">
        <f t="shared" si="208"/>
        <v>#DIV/0!</v>
      </c>
      <c r="L521" s="283" t="e">
        <f t="shared" si="208"/>
        <v>#DIV/0!</v>
      </c>
      <c r="M521" s="283" t="e">
        <f t="shared" si="208"/>
        <v>#DIV/0!</v>
      </c>
      <c r="N521" s="283" t="e">
        <f t="shared" si="208"/>
        <v>#DIV/0!</v>
      </c>
      <c r="O521" s="283" t="e">
        <f t="shared" si="208"/>
        <v>#DIV/0!</v>
      </c>
      <c r="P521" s="283" t="e">
        <f t="shared" si="208"/>
        <v>#DIV/0!</v>
      </c>
      <c r="Q521" s="667" t="e">
        <f t="shared" si="208"/>
        <v>#DIV/0!</v>
      </c>
      <c r="R521" s="182"/>
      <c r="S521" s="182"/>
      <c r="T521" s="182"/>
      <c r="U521" s="182"/>
      <c r="V521" s="182"/>
      <c r="W521" s="182"/>
      <c r="X521" s="182"/>
      <c r="Y521" s="182"/>
      <c r="Z521" s="182"/>
      <c r="AA521" s="182"/>
      <c r="AB521" s="182"/>
      <c r="AC521" s="182"/>
      <c r="AD521" s="182"/>
      <c r="AE521" s="182"/>
      <c r="AF521" s="182"/>
      <c r="AG521" s="182"/>
      <c r="AH521" s="182"/>
      <c r="AI521" s="182"/>
      <c r="AJ521" s="182"/>
      <c r="AK521" s="182"/>
      <c r="AL521" s="182"/>
      <c r="AM521" s="182"/>
      <c r="AN521" s="182"/>
      <c r="AO521" s="182"/>
      <c r="AP521" s="182"/>
      <c r="AQ521" s="182"/>
      <c r="AR521" s="182"/>
      <c r="AS521" s="182"/>
      <c r="AT521" s="182"/>
      <c r="AU521" s="182"/>
      <c r="AV521" s="182"/>
      <c r="AW521" s="182"/>
      <c r="AX521" s="182"/>
      <c r="AY521" s="182"/>
      <c r="AZ521" s="182"/>
    </row>
    <row r="522" spans="3:52">
      <c r="C522" s="664">
        <v>6</v>
      </c>
      <c r="D522" s="283"/>
      <c r="E522" s="283"/>
      <c r="F522" s="283" t="e">
        <f t="shared" si="208"/>
        <v>#DIV/0!</v>
      </c>
      <c r="G522" s="283" t="e">
        <f t="shared" si="208"/>
        <v>#DIV/0!</v>
      </c>
      <c r="H522" s="283" t="e">
        <f t="shared" si="208"/>
        <v>#DIV/0!</v>
      </c>
      <c r="I522" s="283" t="e">
        <f t="shared" si="208"/>
        <v>#DIV/0!</v>
      </c>
      <c r="J522" s="283" t="e">
        <f t="shared" si="208"/>
        <v>#DIV/0!</v>
      </c>
      <c r="K522" s="283" t="e">
        <f t="shared" si="208"/>
        <v>#DIV/0!</v>
      </c>
      <c r="L522" s="283" t="e">
        <f t="shared" si="208"/>
        <v>#DIV/0!</v>
      </c>
      <c r="M522" s="283" t="e">
        <f t="shared" si="208"/>
        <v>#DIV/0!</v>
      </c>
      <c r="N522" s="283" t="e">
        <f t="shared" si="208"/>
        <v>#DIV/0!</v>
      </c>
      <c r="O522" s="283" t="e">
        <f t="shared" si="208"/>
        <v>#DIV/0!</v>
      </c>
      <c r="P522" s="283" t="e">
        <f t="shared" si="208"/>
        <v>#DIV/0!</v>
      </c>
      <c r="Q522" s="667" t="e">
        <f t="shared" si="208"/>
        <v>#DIV/0!</v>
      </c>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c r="AR522" s="182"/>
      <c r="AS522" s="182"/>
      <c r="AT522" s="182"/>
      <c r="AU522" s="182"/>
      <c r="AV522" s="182"/>
      <c r="AW522" s="182"/>
      <c r="AX522" s="182"/>
      <c r="AY522" s="182"/>
      <c r="AZ522" s="182"/>
    </row>
    <row r="523" spans="3:52">
      <c r="C523" s="664">
        <v>7</v>
      </c>
      <c r="D523" s="283"/>
      <c r="E523" s="283"/>
      <c r="F523" s="283" t="e">
        <f t="shared" si="208"/>
        <v>#DIV/0!</v>
      </c>
      <c r="G523" s="283" t="e">
        <f t="shared" si="208"/>
        <v>#DIV/0!</v>
      </c>
      <c r="H523" s="283" t="e">
        <f t="shared" si="208"/>
        <v>#DIV/0!</v>
      </c>
      <c r="I523" s="283" t="e">
        <f t="shared" si="208"/>
        <v>#DIV/0!</v>
      </c>
      <c r="J523" s="283" t="e">
        <f t="shared" si="208"/>
        <v>#DIV/0!</v>
      </c>
      <c r="K523" s="283" t="e">
        <f t="shared" si="208"/>
        <v>#DIV/0!</v>
      </c>
      <c r="L523" s="283" t="e">
        <f t="shared" si="208"/>
        <v>#DIV/0!</v>
      </c>
      <c r="M523" s="283" t="e">
        <f t="shared" si="208"/>
        <v>#DIV/0!</v>
      </c>
      <c r="N523" s="283" t="e">
        <f t="shared" si="208"/>
        <v>#DIV/0!</v>
      </c>
      <c r="O523" s="283" t="e">
        <f t="shared" si="208"/>
        <v>#DIV/0!</v>
      </c>
      <c r="P523" s="283" t="e">
        <f t="shared" si="208"/>
        <v>#DIV/0!</v>
      </c>
      <c r="Q523" s="667" t="e">
        <f t="shared" si="208"/>
        <v>#DIV/0!</v>
      </c>
      <c r="R523" s="182"/>
      <c r="S523" s="182"/>
      <c r="T523" s="182"/>
      <c r="U523" s="182"/>
      <c r="V523" s="182"/>
      <c r="W523" s="182"/>
      <c r="X523" s="182"/>
      <c r="Y523" s="182"/>
      <c r="Z523" s="182"/>
      <c r="AA523" s="182"/>
      <c r="AB523" s="182"/>
      <c r="AC523" s="182"/>
      <c r="AD523" s="182"/>
      <c r="AE523" s="182"/>
      <c r="AF523" s="182"/>
      <c r="AG523" s="182"/>
      <c r="AH523" s="182"/>
      <c r="AI523" s="182"/>
      <c r="AJ523" s="182"/>
      <c r="AK523" s="182"/>
      <c r="AL523" s="182"/>
      <c r="AM523" s="182"/>
      <c r="AN523" s="182"/>
      <c r="AO523" s="182"/>
      <c r="AP523" s="182"/>
      <c r="AQ523" s="182"/>
      <c r="AR523" s="182"/>
      <c r="AS523" s="182"/>
      <c r="AT523" s="182"/>
      <c r="AU523" s="182"/>
      <c r="AV523" s="182"/>
      <c r="AW523" s="182"/>
      <c r="AX523" s="182"/>
      <c r="AY523" s="182"/>
      <c r="AZ523" s="182"/>
    </row>
    <row r="524" spans="3:52">
      <c r="C524" s="664">
        <v>8</v>
      </c>
      <c r="D524" s="283"/>
      <c r="E524" s="283"/>
      <c r="F524" s="283" t="e">
        <f t="shared" si="208"/>
        <v>#DIV/0!</v>
      </c>
      <c r="G524" s="283" t="e">
        <f t="shared" si="208"/>
        <v>#DIV/0!</v>
      </c>
      <c r="H524" s="283" t="e">
        <f t="shared" si="208"/>
        <v>#DIV/0!</v>
      </c>
      <c r="I524" s="283" t="e">
        <f t="shared" si="208"/>
        <v>#DIV/0!</v>
      </c>
      <c r="J524" s="283" t="e">
        <f t="shared" si="208"/>
        <v>#DIV/0!</v>
      </c>
      <c r="K524" s="283" t="e">
        <f t="shared" si="208"/>
        <v>#DIV/0!</v>
      </c>
      <c r="L524" s="283" t="e">
        <f t="shared" si="208"/>
        <v>#DIV/0!</v>
      </c>
      <c r="M524" s="283" t="e">
        <f t="shared" si="208"/>
        <v>#DIV/0!</v>
      </c>
      <c r="N524" s="283" t="e">
        <f t="shared" si="208"/>
        <v>#DIV/0!</v>
      </c>
      <c r="O524" s="283" t="e">
        <f t="shared" si="208"/>
        <v>#DIV/0!</v>
      </c>
      <c r="P524" s="283" t="e">
        <f t="shared" si="208"/>
        <v>#DIV/0!</v>
      </c>
      <c r="Q524" s="667" t="e">
        <f t="shared" si="208"/>
        <v>#DIV/0!</v>
      </c>
      <c r="R524" s="182"/>
      <c r="S524" s="182"/>
      <c r="T524" s="182"/>
      <c r="U524" s="182"/>
      <c r="V524" s="182"/>
      <c r="W524" s="182"/>
      <c r="X524" s="182"/>
      <c r="Y524" s="182"/>
      <c r="Z524" s="182"/>
      <c r="AA524" s="182"/>
      <c r="AB524" s="182"/>
      <c r="AC524" s="182"/>
      <c r="AD524" s="182"/>
      <c r="AE524" s="182"/>
      <c r="AF524" s="182"/>
      <c r="AG524" s="182"/>
      <c r="AH524" s="182"/>
      <c r="AI524" s="182"/>
      <c r="AJ524" s="182"/>
      <c r="AK524" s="182"/>
      <c r="AL524" s="182"/>
      <c r="AM524" s="182"/>
      <c r="AN524" s="182"/>
      <c r="AO524" s="182"/>
      <c r="AP524" s="182"/>
      <c r="AQ524" s="182"/>
      <c r="AR524" s="182"/>
      <c r="AS524" s="182"/>
      <c r="AT524" s="182"/>
      <c r="AU524" s="182"/>
      <c r="AV524" s="182"/>
      <c r="AW524" s="182"/>
      <c r="AX524" s="182"/>
      <c r="AY524" s="182"/>
      <c r="AZ524" s="182"/>
    </row>
    <row r="525" spans="3:52">
      <c r="C525" s="664">
        <v>9</v>
      </c>
      <c r="D525" s="283"/>
      <c r="E525" s="283"/>
      <c r="F525" s="283" t="e">
        <f t="shared" si="208"/>
        <v>#DIV/0!</v>
      </c>
      <c r="G525" s="283" t="e">
        <f t="shared" si="208"/>
        <v>#DIV/0!</v>
      </c>
      <c r="H525" s="283" t="e">
        <f t="shared" si="208"/>
        <v>#DIV/0!</v>
      </c>
      <c r="I525" s="283" t="e">
        <f t="shared" si="208"/>
        <v>#DIV/0!</v>
      </c>
      <c r="J525" s="283" t="e">
        <f t="shared" si="208"/>
        <v>#DIV/0!</v>
      </c>
      <c r="K525" s="283" t="e">
        <f t="shared" si="208"/>
        <v>#DIV/0!</v>
      </c>
      <c r="L525" s="283" t="e">
        <f t="shared" si="208"/>
        <v>#DIV/0!</v>
      </c>
      <c r="M525" s="283" t="e">
        <f t="shared" si="208"/>
        <v>#DIV/0!</v>
      </c>
      <c r="N525" s="283" t="e">
        <f t="shared" si="208"/>
        <v>#DIV/0!</v>
      </c>
      <c r="O525" s="283" t="e">
        <f t="shared" si="208"/>
        <v>#DIV/0!</v>
      </c>
      <c r="P525" s="283" t="e">
        <f t="shared" si="208"/>
        <v>#DIV/0!</v>
      </c>
      <c r="Q525" s="667" t="e">
        <f t="shared" si="208"/>
        <v>#DIV/0!</v>
      </c>
      <c r="R525" s="182"/>
      <c r="S525" s="182"/>
      <c r="T525" s="182"/>
      <c r="U525" s="182"/>
      <c r="V525" s="182"/>
      <c r="W525" s="182"/>
      <c r="X525" s="182"/>
      <c r="Y525" s="182"/>
      <c r="Z525" s="182"/>
      <c r="AA525" s="182"/>
      <c r="AB525" s="182"/>
      <c r="AC525" s="182"/>
      <c r="AD525" s="182"/>
      <c r="AE525" s="182"/>
      <c r="AF525" s="182"/>
      <c r="AG525" s="182"/>
      <c r="AH525" s="182"/>
      <c r="AI525" s="182"/>
      <c r="AJ525" s="182"/>
      <c r="AK525" s="182"/>
      <c r="AL525" s="182"/>
      <c r="AM525" s="182"/>
      <c r="AN525" s="182"/>
      <c r="AO525" s="182"/>
      <c r="AP525" s="182"/>
      <c r="AQ525" s="182"/>
      <c r="AR525" s="182"/>
      <c r="AS525" s="182"/>
      <c r="AT525" s="182"/>
      <c r="AU525" s="182"/>
      <c r="AV525" s="182"/>
      <c r="AW525" s="182"/>
      <c r="AX525" s="182"/>
      <c r="AY525" s="182"/>
      <c r="AZ525" s="182"/>
    </row>
    <row r="526" spans="3:52">
      <c r="C526" s="664">
        <v>10</v>
      </c>
      <c r="D526" s="283"/>
      <c r="E526" s="283"/>
      <c r="F526" s="283" t="e">
        <f t="shared" si="208"/>
        <v>#DIV/0!</v>
      </c>
      <c r="G526" s="283" t="e">
        <f t="shared" si="208"/>
        <v>#DIV/0!</v>
      </c>
      <c r="H526" s="283" t="e">
        <f t="shared" si="208"/>
        <v>#DIV/0!</v>
      </c>
      <c r="I526" s="283" t="e">
        <f t="shared" si="208"/>
        <v>#DIV/0!</v>
      </c>
      <c r="J526" s="283" t="e">
        <f t="shared" si="208"/>
        <v>#DIV/0!</v>
      </c>
      <c r="K526" s="283" t="e">
        <f t="shared" si="208"/>
        <v>#DIV/0!</v>
      </c>
      <c r="L526" s="283" t="e">
        <f t="shared" si="208"/>
        <v>#DIV/0!</v>
      </c>
      <c r="M526" s="283" t="e">
        <f t="shared" si="208"/>
        <v>#DIV/0!</v>
      </c>
      <c r="N526" s="283" t="e">
        <f t="shared" si="208"/>
        <v>#DIV/0!</v>
      </c>
      <c r="O526" s="283" t="e">
        <f t="shared" si="208"/>
        <v>#DIV/0!</v>
      </c>
      <c r="P526" s="283" t="e">
        <f t="shared" si="208"/>
        <v>#DIV/0!</v>
      </c>
      <c r="Q526" s="667" t="e">
        <f t="shared" si="208"/>
        <v>#DIV/0!</v>
      </c>
      <c r="R526" s="182"/>
      <c r="S526" s="182"/>
      <c r="T526" s="182"/>
      <c r="U526" s="182"/>
      <c r="V526" s="182"/>
      <c r="W526" s="182"/>
      <c r="X526" s="182"/>
      <c r="Y526" s="182"/>
      <c r="Z526" s="182"/>
      <c r="AA526" s="182"/>
      <c r="AB526" s="182"/>
      <c r="AC526" s="182"/>
      <c r="AD526" s="182"/>
      <c r="AE526" s="182"/>
      <c r="AF526" s="182"/>
      <c r="AG526" s="182"/>
      <c r="AH526" s="182"/>
      <c r="AI526" s="182"/>
      <c r="AJ526" s="182"/>
      <c r="AK526" s="182"/>
      <c r="AL526" s="182"/>
      <c r="AM526" s="182"/>
      <c r="AN526" s="182"/>
      <c r="AO526" s="182"/>
      <c r="AP526" s="182"/>
      <c r="AQ526" s="182"/>
      <c r="AR526" s="182"/>
      <c r="AS526" s="182"/>
      <c r="AT526" s="182"/>
      <c r="AU526" s="182"/>
      <c r="AV526" s="182"/>
      <c r="AW526" s="182"/>
      <c r="AX526" s="182"/>
      <c r="AY526" s="182"/>
      <c r="AZ526" s="182"/>
    </row>
    <row r="527" spans="3:52">
      <c r="C527" s="664"/>
      <c r="D527" s="283"/>
      <c r="E527" s="283"/>
      <c r="F527" s="283"/>
      <c r="G527" s="283"/>
      <c r="H527" s="283"/>
      <c r="I527" s="283"/>
      <c r="J527" s="283"/>
      <c r="K527" s="283"/>
      <c r="L527" s="283"/>
      <c r="M527" s="283"/>
      <c r="N527" s="283"/>
      <c r="O527" s="283"/>
      <c r="P527" s="283"/>
      <c r="Q527" s="667"/>
      <c r="R527" s="182"/>
      <c r="S527" s="182"/>
      <c r="T527" s="182"/>
      <c r="U527" s="182"/>
      <c r="V527" s="182"/>
      <c r="W527" s="182"/>
      <c r="X527" s="182"/>
      <c r="Y527" s="182"/>
      <c r="Z527" s="182"/>
      <c r="AA527" s="182"/>
      <c r="AB527" s="182"/>
      <c r="AC527" s="182"/>
      <c r="AD527" s="182"/>
      <c r="AE527" s="182"/>
      <c r="AF527" s="182"/>
      <c r="AG527" s="182"/>
      <c r="AH527" s="182"/>
      <c r="AI527" s="182"/>
      <c r="AJ527" s="182"/>
      <c r="AK527" s="182"/>
      <c r="AL527" s="182"/>
      <c r="AM527" s="182"/>
      <c r="AN527" s="182"/>
      <c r="AO527" s="182"/>
      <c r="AP527" s="182"/>
      <c r="AQ527" s="182"/>
      <c r="AR527" s="182"/>
      <c r="AS527" s="182"/>
      <c r="AT527" s="182"/>
      <c r="AU527" s="182"/>
      <c r="AV527" s="182"/>
      <c r="AW527" s="182"/>
      <c r="AX527" s="182"/>
      <c r="AY527" s="182"/>
      <c r="AZ527" s="182"/>
    </row>
    <row r="528" spans="3:52" ht="16">
      <c r="C528" s="664" t="s">
        <v>173</v>
      </c>
      <c r="D528" s="283"/>
      <c r="E528" s="283"/>
      <c r="F528" s="283">
        <f>E517+D518</f>
        <v>0</v>
      </c>
      <c r="G528" s="283" t="e">
        <f>F517+E518+D519</f>
        <v>#DIV/0!</v>
      </c>
      <c r="H528" s="283" t="e">
        <f>G517+F518+E519+D520</f>
        <v>#DIV/0!</v>
      </c>
      <c r="I528" s="283" t="e">
        <f>H517+G518+F519+E520+D521</f>
        <v>#DIV/0!</v>
      </c>
      <c r="J528" s="283" t="e">
        <f>I517+H518+G519+F520+E521+D522</f>
        <v>#DIV/0!</v>
      </c>
      <c r="K528" s="283" t="e">
        <f>J517+I518+H519+G520+F521+E522+D523</f>
        <v>#DIV/0!</v>
      </c>
      <c r="L528" s="283" t="e">
        <f>K517+J518+I519+H520+G521+F522+E523+D524</f>
        <v>#DIV/0!</v>
      </c>
      <c r="M528" s="283" t="e">
        <f>L517+K518+J519+I520+H521+G522+F523+E524+D525</f>
        <v>#DIV/0!</v>
      </c>
      <c r="N528" s="283" t="e">
        <f>M517+L518+K519+J520+I521+H522+G523+F524+E525+D526</f>
        <v>#DIV/0!</v>
      </c>
      <c r="O528" s="283" t="e">
        <f>N517+M518+L519+K520+J521+I522+H523+G524+F525+E526</f>
        <v>#DIV/0!</v>
      </c>
      <c r="P528" s="283" t="e">
        <f>O517+N518+M519+L520+K521+J522+I523+H524+G525+F526</f>
        <v>#DIV/0!</v>
      </c>
      <c r="Q528" s="667" t="e">
        <f>P517+O518+N519+M520+L521+K522+J523+I524+H525+G526</f>
        <v>#DIV/0!</v>
      </c>
      <c r="R528" s="283"/>
      <c r="S528" s="283"/>
      <c r="T528" s="182"/>
      <c r="U528" s="182"/>
      <c r="V528" s="182"/>
      <c r="W528" s="182"/>
      <c r="X528" s="182"/>
      <c r="Y528" s="182"/>
      <c r="Z528" s="182"/>
      <c r="AA528" s="182"/>
      <c r="AB528" s="182"/>
      <c r="AC528" s="182"/>
      <c r="AD528" s="182"/>
      <c r="AE528" s="182"/>
      <c r="AF528" s="182"/>
      <c r="AG528" s="182"/>
      <c r="AH528" s="182"/>
      <c r="AI528" s="182"/>
      <c r="AJ528" s="182"/>
      <c r="AK528" s="182"/>
      <c r="AL528" s="182"/>
      <c r="AM528" s="182"/>
      <c r="AN528" s="182"/>
      <c r="AO528" s="182"/>
      <c r="AP528" s="182"/>
      <c r="AQ528" s="182"/>
      <c r="AR528" s="182"/>
      <c r="AS528" s="182"/>
      <c r="AT528" s="182"/>
      <c r="AU528" s="182"/>
      <c r="AV528" s="182"/>
      <c r="AW528" s="182"/>
      <c r="AX528" s="182"/>
      <c r="AY528" s="182"/>
      <c r="AZ528" s="182"/>
    </row>
    <row r="529" spans="3:52">
      <c r="C529" s="664"/>
      <c r="D529" s="283"/>
      <c r="E529" s="283"/>
      <c r="F529" s="283"/>
      <c r="G529" s="283"/>
      <c r="H529" s="283"/>
      <c r="I529" s="283"/>
      <c r="J529" s="283"/>
      <c r="K529" s="283"/>
      <c r="L529" s="283"/>
      <c r="M529" s="283"/>
      <c r="N529" s="283"/>
      <c r="O529" s="283"/>
      <c r="P529" s="283"/>
      <c r="Q529" s="667"/>
      <c r="R529" s="283"/>
      <c r="S529" s="283"/>
      <c r="T529" s="182"/>
      <c r="U529" s="182"/>
      <c r="V529" s="182"/>
      <c r="W529" s="182"/>
      <c r="X529" s="182"/>
      <c r="Y529" s="182"/>
      <c r="Z529" s="182"/>
      <c r="AA529" s="182"/>
      <c r="AB529" s="182"/>
      <c r="AC529" s="182"/>
      <c r="AD529" s="182"/>
      <c r="AE529" s="182"/>
      <c r="AF529" s="182"/>
      <c r="AG529" s="182"/>
      <c r="AH529" s="182"/>
      <c r="AI529" s="182"/>
      <c r="AJ529" s="182"/>
      <c r="AK529" s="182"/>
      <c r="AL529" s="182"/>
      <c r="AM529" s="182"/>
      <c r="AN529" s="182"/>
      <c r="AO529" s="182"/>
      <c r="AP529" s="182"/>
      <c r="AQ529" s="182"/>
      <c r="AR529" s="182"/>
      <c r="AS529" s="182"/>
      <c r="AT529" s="182"/>
      <c r="AU529" s="182"/>
      <c r="AV529" s="182"/>
      <c r="AW529" s="182"/>
      <c r="AX529" s="182"/>
      <c r="AY529" s="182"/>
      <c r="AZ529" s="182"/>
    </row>
    <row r="530" spans="3:52">
      <c r="C530" s="664"/>
      <c r="D530" s="283"/>
      <c r="E530" s="291"/>
      <c r="F530" s="291"/>
      <c r="G530" s="291"/>
      <c r="H530" s="291"/>
      <c r="I530" s="291"/>
      <c r="J530" s="291"/>
      <c r="K530" s="291"/>
      <c r="L530" s="291"/>
      <c r="M530" s="291"/>
      <c r="N530" s="291"/>
      <c r="O530" s="291"/>
      <c r="P530" s="291"/>
      <c r="Q530" s="666"/>
      <c r="R530" s="182"/>
      <c r="S530" s="182"/>
      <c r="T530" s="182"/>
      <c r="U530" s="182"/>
      <c r="V530" s="182"/>
      <c r="W530" s="182"/>
      <c r="X530" s="182"/>
      <c r="Y530" s="182"/>
      <c r="Z530" s="182"/>
      <c r="AA530" s="182"/>
      <c r="AB530" s="182"/>
      <c r="AC530" s="182"/>
      <c r="AD530" s="182"/>
      <c r="AE530" s="182"/>
      <c r="AF530" s="182"/>
      <c r="AG530" s="182"/>
      <c r="AH530" s="182"/>
      <c r="AI530" s="182"/>
      <c r="AJ530" s="182"/>
      <c r="AK530" s="182"/>
      <c r="AL530" s="182"/>
      <c r="AM530" s="182"/>
      <c r="AN530" s="182"/>
      <c r="AO530" s="182"/>
      <c r="AP530" s="182"/>
      <c r="AQ530" s="182"/>
      <c r="AR530" s="182"/>
      <c r="AS530" s="182"/>
      <c r="AT530" s="182"/>
      <c r="AU530" s="182"/>
      <c r="AV530" s="182"/>
      <c r="AW530" s="182"/>
      <c r="AX530" s="182"/>
      <c r="AY530" s="182"/>
      <c r="AZ530" s="182"/>
    </row>
    <row r="531" spans="3:52">
      <c r="C531" s="701">
        <v>30</v>
      </c>
      <c r="D531" s="599">
        <v>2022</v>
      </c>
      <c r="E531" s="599">
        <v>2023</v>
      </c>
      <c r="F531" s="599">
        <v>2024</v>
      </c>
      <c r="G531" s="599">
        <v>2025</v>
      </c>
      <c r="H531" s="599">
        <v>2026</v>
      </c>
      <c r="I531" s="599">
        <v>2027</v>
      </c>
      <c r="J531" s="599">
        <v>2028</v>
      </c>
      <c r="K531" s="599">
        <v>2029</v>
      </c>
      <c r="L531" s="599">
        <v>2030</v>
      </c>
      <c r="M531" s="599">
        <v>2031</v>
      </c>
      <c r="N531" s="599">
        <v>2032</v>
      </c>
      <c r="O531" s="599">
        <v>2033</v>
      </c>
      <c r="P531" s="599">
        <v>2034</v>
      </c>
      <c r="Q531" s="702">
        <v>2035</v>
      </c>
      <c r="R531" s="182"/>
      <c r="S531" s="182"/>
      <c r="T531" s="182"/>
      <c r="U531" s="182"/>
      <c r="V531" s="182"/>
      <c r="W531" s="182"/>
      <c r="X531" s="182"/>
      <c r="Y531" s="182"/>
      <c r="Z531" s="182"/>
      <c r="AA531" s="182"/>
      <c r="AB531" s="182"/>
      <c r="AC531" s="182"/>
      <c r="AD531" s="182"/>
      <c r="AE531" s="182"/>
      <c r="AF531" s="182"/>
      <c r="AG531" s="182"/>
      <c r="AH531" s="182"/>
      <c r="AI531" s="182"/>
      <c r="AJ531" s="182"/>
      <c r="AK531" s="182"/>
      <c r="AL531" s="182"/>
      <c r="AM531" s="182"/>
      <c r="AN531" s="182"/>
      <c r="AO531" s="182"/>
      <c r="AP531" s="182"/>
      <c r="AQ531" s="182"/>
      <c r="AR531" s="182"/>
      <c r="AS531" s="182"/>
      <c r="AT531" s="182"/>
      <c r="AU531" s="182"/>
      <c r="AV531" s="182"/>
      <c r="AW531" s="182"/>
      <c r="AX531" s="182"/>
      <c r="AY531" s="182"/>
      <c r="AZ531" s="182"/>
    </row>
    <row r="532" spans="3:52" ht="16">
      <c r="C532" s="664" t="s">
        <v>177</v>
      </c>
      <c r="D532" s="325"/>
      <c r="E532" s="325"/>
      <c r="F532" s="325">
        <f>'Deuda a emitir'!F99</f>
        <v>0</v>
      </c>
      <c r="G532" s="325">
        <f>'Deuda a emitir'!G99</f>
        <v>0</v>
      </c>
      <c r="H532" s="325">
        <f>'Deuda a emitir'!H99</f>
        <v>0</v>
      </c>
      <c r="I532" s="325">
        <f>'Deuda a emitir'!I99</f>
        <v>0</v>
      </c>
      <c r="J532" s="325">
        <f>'Deuda a emitir'!J99</f>
        <v>0</v>
      </c>
      <c r="K532" s="325">
        <f>'Deuda a emitir'!K99</f>
        <v>0</v>
      </c>
      <c r="L532" s="325">
        <f>'Deuda a emitir'!L99</f>
        <v>0</v>
      </c>
      <c r="M532" s="325">
        <f>'Deuda a emitir'!M99</f>
        <v>0</v>
      </c>
      <c r="N532" s="325">
        <f>'Deuda a emitir'!N99</f>
        <v>0</v>
      </c>
      <c r="O532" s="325">
        <f>'Deuda a emitir'!O99</f>
        <v>0</v>
      </c>
      <c r="P532" s="325">
        <f>'Deuda a emitir'!P99</f>
        <v>0</v>
      </c>
      <c r="Q532" s="703">
        <f>'Deuda a emitir'!Q99</f>
        <v>0</v>
      </c>
      <c r="R532" s="182"/>
      <c r="S532" s="182"/>
      <c r="T532" s="182"/>
      <c r="U532" s="182"/>
      <c r="V532" s="182"/>
      <c r="W532" s="182"/>
      <c r="X532" s="182"/>
      <c r="Y532" s="182"/>
      <c r="Z532" s="182"/>
      <c r="AA532" s="182"/>
      <c r="AB532" s="182"/>
      <c r="AC532" s="182"/>
      <c r="AD532" s="182"/>
      <c r="AE532" s="182"/>
      <c r="AF532" s="182"/>
      <c r="AG532" s="182"/>
      <c r="AH532" s="182"/>
      <c r="AI532" s="182"/>
      <c r="AJ532" s="182"/>
      <c r="AK532" s="182"/>
      <c r="AL532" s="182"/>
      <c r="AM532" s="182"/>
      <c r="AN532" s="182"/>
      <c r="AO532" s="182"/>
      <c r="AP532" s="182"/>
      <c r="AQ532" s="182"/>
      <c r="AR532" s="182"/>
      <c r="AS532" s="182"/>
      <c r="AT532" s="182"/>
      <c r="AU532" s="182"/>
      <c r="AV532" s="182"/>
      <c r="AW532" s="182"/>
      <c r="AX532" s="182"/>
      <c r="AY532" s="182"/>
      <c r="AZ532" s="182"/>
    </row>
    <row r="533" spans="3:52" ht="16">
      <c r="C533" s="664" t="s">
        <v>178</v>
      </c>
      <c r="D533" s="325"/>
      <c r="E533" s="325"/>
      <c r="F533" s="325">
        <f>'Deuda a emitir'!F100</f>
        <v>0</v>
      </c>
      <c r="G533" s="325">
        <f>'Deuda a emitir'!G100</f>
        <v>0</v>
      </c>
      <c r="H533" s="325">
        <f>'Deuda a emitir'!H100</f>
        <v>0</v>
      </c>
      <c r="I533" s="325">
        <f>'Deuda a emitir'!I100</f>
        <v>0</v>
      </c>
      <c r="J533" s="325">
        <f>'Deuda a emitir'!J100</f>
        <v>0</v>
      </c>
      <c r="K533" s="325">
        <f>'Deuda a emitir'!K100</f>
        <v>0</v>
      </c>
      <c r="L533" s="325">
        <f>'Deuda a emitir'!L100</f>
        <v>0</v>
      </c>
      <c r="M533" s="325">
        <f>'Deuda a emitir'!M100</f>
        <v>0</v>
      </c>
      <c r="N533" s="325">
        <f>'Deuda a emitir'!N100</f>
        <v>0</v>
      </c>
      <c r="O533" s="325">
        <f>'Deuda a emitir'!O100</f>
        <v>0</v>
      </c>
      <c r="P533" s="325">
        <f>'Deuda a emitir'!P100</f>
        <v>0</v>
      </c>
      <c r="Q533" s="703">
        <f>'Deuda a emitir'!Q100</f>
        <v>0</v>
      </c>
      <c r="R533" s="182"/>
      <c r="S533" s="182"/>
      <c r="T533" s="182"/>
      <c r="U533" s="182"/>
      <c r="V533" s="182"/>
      <c r="W533" s="182"/>
      <c r="X533" s="182"/>
      <c r="Y533" s="182"/>
      <c r="Z533" s="182"/>
      <c r="AA533" s="182"/>
      <c r="AB533" s="182"/>
      <c r="AC533" s="182"/>
      <c r="AD533" s="182"/>
      <c r="AE533" s="182"/>
      <c r="AF533" s="182"/>
      <c r="AG533" s="182"/>
      <c r="AH533" s="182"/>
      <c r="AI533" s="182"/>
      <c r="AJ533" s="182"/>
      <c r="AK533" s="182"/>
      <c r="AL533" s="182"/>
      <c r="AM533" s="182"/>
      <c r="AN533" s="182"/>
      <c r="AO533" s="182"/>
      <c r="AP533" s="182"/>
      <c r="AQ533" s="182"/>
      <c r="AR533" s="182"/>
      <c r="AS533" s="182"/>
      <c r="AT533" s="182"/>
      <c r="AU533" s="182"/>
      <c r="AV533" s="182"/>
      <c r="AW533" s="182"/>
      <c r="AX533" s="182"/>
      <c r="AY533" s="182"/>
      <c r="AZ533" s="182"/>
    </row>
    <row r="534" spans="3:52" ht="16">
      <c r="C534" s="664" t="s">
        <v>179</v>
      </c>
      <c r="D534" s="328"/>
      <c r="E534" s="328"/>
      <c r="F534" s="328">
        <f>'Deuda a emitir'!F101</f>
        <v>30</v>
      </c>
      <c r="G534" s="328">
        <f>'Deuda a emitir'!G101</f>
        <v>30</v>
      </c>
      <c r="H534" s="328">
        <f>'Deuda a emitir'!H101</f>
        <v>30</v>
      </c>
      <c r="I534" s="328">
        <f>'Deuda a emitir'!I101</f>
        <v>30</v>
      </c>
      <c r="J534" s="328">
        <f>'Deuda a emitir'!J101</f>
        <v>30</v>
      </c>
      <c r="K534" s="328">
        <f>'Deuda a emitir'!K101</f>
        <v>30</v>
      </c>
      <c r="L534" s="328">
        <f>'Deuda a emitir'!L101</f>
        <v>30</v>
      </c>
      <c r="M534" s="328">
        <f>'Deuda a emitir'!M101</f>
        <v>30</v>
      </c>
      <c r="N534" s="328">
        <f>'Deuda a emitir'!N101</f>
        <v>30</v>
      </c>
      <c r="O534" s="328">
        <f>'Deuda a emitir'!O101</f>
        <v>30</v>
      </c>
      <c r="P534" s="328">
        <f>'Deuda a emitir'!P101</f>
        <v>30</v>
      </c>
      <c r="Q534" s="681">
        <f>'Deuda a emitir'!Q101</f>
        <v>30</v>
      </c>
      <c r="R534" s="182"/>
      <c r="S534" s="182"/>
      <c r="T534" s="182"/>
      <c r="U534" s="182"/>
      <c r="V534" s="182"/>
      <c r="W534" s="182"/>
      <c r="X534" s="182"/>
      <c r="Y534" s="182"/>
      <c r="Z534" s="182"/>
      <c r="AA534" s="182"/>
      <c r="AB534" s="182"/>
      <c r="AC534" s="182"/>
      <c r="AD534" s="182"/>
      <c r="AE534" s="182"/>
      <c r="AF534" s="182"/>
      <c r="AG534" s="182"/>
      <c r="AH534" s="182"/>
      <c r="AI534" s="182"/>
      <c r="AJ534" s="182"/>
      <c r="AK534" s="182"/>
      <c r="AL534" s="182"/>
      <c r="AM534" s="182"/>
      <c r="AN534" s="182"/>
      <c r="AO534" s="182"/>
      <c r="AP534" s="182"/>
      <c r="AQ534" s="182"/>
      <c r="AR534" s="182"/>
      <c r="AS534" s="182"/>
      <c r="AT534" s="182"/>
      <c r="AU534" s="182"/>
      <c r="AV534" s="182"/>
      <c r="AW534" s="182"/>
      <c r="AX534" s="182"/>
      <c r="AY534" s="182"/>
      <c r="AZ534" s="182"/>
    </row>
    <row r="535" spans="3:52" ht="16">
      <c r="C535" s="664" t="s">
        <v>72</v>
      </c>
      <c r="D535" s="328"/>
      <c r="E535" s="328"/>
      <c r="F535" s="328">
        <f t="shared" ref="F535:Q535" si="209">F531+F534</f>
        <v>2054</v>
      </c>
      <c r="G535" s="328">
        <f t="shared" si="209"/>
        <v>2055</v>
      </c>
      <c r="H535" s="328">
        <f t="shared" si="209"/>
        <v>2056</v>
      </c>
      <c r="I535" s="328">
        <f t="shared" si="209"/>
        <v>2057</v>
      </c>
      <c r="J535" s="328">
        <f t="shared" si="209"/>
        <v>2058</v>
      </c>
      <c r="K535" s="328">
        <f t="shared" si="209"/>
        <v>2059</v>
      </c>
      <c r="L535" s="328">
        <f t="shared" si="209"/>
        <v>2060</v>
      </c>
      <c r="M535" s="328">
        <f t="shared" si="209"/>
        <v>2061</v>
      </c>
      <c r="N535" s="328">
        <f t="shared" si="209"/>
        <v>2062</v>
      </c>
      <c r="O535" s="328">
        <f t="shared" si="209"/>
        <v>2063</v>
      </c>
      <c r="P535" s="328">
        <f t="shared" si="209"/>
        <v>2064</v>
      </c>
      <c r="Q535" s="681">
        <f t="shared" si="209"/>
        <v>2065</v>
      </c>
      <c r="R535" s="182"/>
      <c r="S535" s="182"/>
      <c r="T535" s="182"/>
      <c r="U535" s="182"/>
      <c r="V535" s="182"/>
      <c r="W535" s="182"/>
      <c r="X535" s="182"/>
      <c r="Y535" s="182"/>
      <c r="Z535" s="182"/>
      <c r="AA535" s="182"/>
      <c r="AB535" s="182"/>
      <c r="AC535" s="182"/>
      <c r="AD535" s="182"/>
      <c r="AE535" s="182"/>
      <c r="AF535" s="182"/>
      <c r="AG535" s="182"/>
      <c r="AH535" s="182"/>
      <c r="AI535" s="182"/>
      <c r="AJ535" s="182"/>
      <c r="AK535" s="182"/>
      <c r="AL535" s="182"/>
      <c r="AM535" s="182"/>
      <c r="AN535" s="182"/>
      <c r="AO535" s="182"/>
      <c r="AP535" s="182"/>
      <c r="AQ535" s="182"/>
      <c r="AR535" s="182"/>
      <c r="AS535" s="182"/>
      <c r="AT535" s="182"/>
      <c r="AU535" s="182"/>
      <c r="AV535" s="182"/>
      <c r="AW535" s="182"/>
      <c r="AX535" s="182"/>
      <c r="AY535" s="182"/>
      <c r="AZ535" s="182"/>
    </row>
    <row r="536" spans="3:52" ht="16">
      <c r="C536" s="664" t="s">
        <v>180</v>
      </c>
      <c r="D536" s="291"/>
      <c r="E536" s="291"/>
      <c r="F536" s="291">
        <f>'Deuda a emitir'!F89</f>
        <v>0</v>
      </c>
      <c r="G536" s="291">
        <f>'Deuda a emitir'!G89</f>
        <v>0</v>
      </c>
      <c r="H536" s="291">
        <f>'Deuda a emitir'!H89</f>
        <v>0</v>
      </c>
      <c r="I536" s="291">
        <f>'Deuda a emitir'!I89</f>
        <v>0</v>
      </c>
      <c r="J536" s="291">
        <f>'Deuda a emitir'!J89</f>
        <v>0</v>
      </c>
      <c r="K536" s="291">
        <f>'Deuda a emitir'!K89</f>
        <v>0</v>
      </c>
      <c r="L536" s="291">
        <f>'Deuda a emitir'!L89</f>
        <v>0</v>
      </c>
      <c r="M536" s="291">
        <f>'Deuda a emitir'!M89</f>
        <v>0</v>
      </c>
      <c r="N536" s="291">
        <f>'Deuda a emitir'!N89</f>
        <v>0</v>
      </c>
      <c r="O536" s="291">
        <f>'Deuda a emitir'!O89</f>
        <v>0</v>
      </c>
      <c r="P536" s="291">
        <f>'Deuda a emitir'!P89</f>
        <v>0</v>
      </c>
      <c r="Q536" s="666">
        <f>'Deuda a emitir'!Q89</f>
        <v>0</v>
      </c>
      <c r="R536" s="182"/>
      <c r="S536" s="182"/>
      <c r="T536" s="182"/>
      <c r="U536" s="182"/>
      <c r="V536" s="182"/>
      <c r="W536" s="182"/>
      <c r="X536" s="182"/>
      <c r="Y536" s="182"/>
      <c r="Z536" s="182"/>
      <c r="AA536" s="182"/>
      <c r="AB536" s="182"/>
      <c r="AC536" s="182"/>
      <c r="AD536" s="182"/>
      <c r="AE536" s="182"/>
      <c r="AF536" s="182"/>
      <c r="AG536" s="182"/>
      <c r="AH536" s="182"/>
      <c r="AI536" s="182"/>
      <c r="AJ536" s="182"/>
      <c r="AK536" s="182"/>
      <c r="AL536" s="182"/>
      <c r="AM536" s="182"/>
      <c r="AN536" s="182"/>
      <c r="AO536" s="182"/>
      <c r="AP536" s="182"/>
      <c r="AQ536" s="182"/>
      <c r="AR536" s="182"/>
      <c r="AS536" s="182"/>
      <c r="AT536" s="182"/>
      <c r="AU536" s="182"/>
      <c r="AV536" s="182"/>
      <c r="AW536" s="182"/>
      <c r="AX536" s="182"/>
      <c r="AY536" s="182"/>
      <c r="AZ536" s="182"/>
    </row>
    <row r="537" spans="3:52" ht="32">
      <c r="C537" s="664" t="s">
        <v>204</v>
      </c>
      <c r="D537" s="313"/>
      <c r="E537" s="313"/>
      <c r="F537" s="313">
        <f t="shared" ref="F537:Q538" si="210">F463*F$536</f>
        <v>0</v>
      </c>
      <c r="G537" s="313" t="e">
        <f t="shared" si="210"/>
        <v>#DIV/0!</v>
      </c>
      <c r="H537" s="313" t="e">
        <f t="shared" si="210"/>
        <v>#DIV/0!</v>
      </c>
      <c r="I537" s="313" t="e">
        <f t="shared" si="210"/>
        <v>#DIV/0!</v>
      </c>
      <c r="J537" s="313" t="e">
        <f t="shared" si="210"/>
        <v>#DIV/0!</v>
      </c>
      <c r="K537" s="313" t="e">
        <f t="shared" si="210"/>
        <v>#DIV/0!</v>
      </c>
      <c r="L537" s="313" t="e">
        <f t="shared" si="210"/>
        <v>#DIV/0!</v>
      </c>
      <c r="M537" s="313" t="e">
        <f t="shared" si="210"/>
        <v>#DIV/0!</v>
      </c>
      <c r="N537" s="313" t="e">
        <f t="shared" si="210"/>
        <v>#DIV/0!</v>
      </c>
      <c r="O537" s="313" t="e">
        <f t="shared" si="210"/>
        <v>#DIV/0!</v>
      </c>
      <c r="P537" s="313" t="e">
        <f t="shared" si="210"/>
        <v>#DIV/0!</v>
      </c>
      <c r="Q537" s="683" t="e">
        <f t="shared" si="210"/>
        <v>#DIV/0!</v>
      </c>
      <c r="R537" s="182"/>
      <c r="S537" s="182"/>
      <c r="T537" s="182"/>
      <c r="U537" s="182"/>
      <c r="V537" s="182"/>
      <c r="W537" s="182"/>
      <c r="X537" s="182"/>
      <c r="Y537" s="182"/>
      <c r="Z537" s="182"/>
      <c r="AA537" s="182"/>
      <c r="AB537" s="182"/>
      <c r="AC537" s="182"/>
      <c r="AD537" s="182"/>
      <c r="AE537" s="182"/>
      <c r="AF537" s="182"/>
      <c r="AG537" s="182"/>
      <c r="AH537" s="182"/>
      <c r="AI537" s="182"/>
      <c r="AJ537" s="182"/>
      <c r="AK537" s="182"/>
      <c r="AL537" s="182"/>
      <c r="AM537" s="182"/>
      <c r="AN537" s="182"/>
      <c r="AO537" s="182"/>
      <c r="AP537" s="182"/>
      <c r="AQ537" s="182"/>
      <c r="AR537" s="182"/>
      <c r="AS537" s="182"/>
      <c r="AT537" s="182"/>
      <c r="AU537" s="182"/>
      <c r="AV537" s="182"/>
      <c r="AW537" s="182"/>
      <c r="AX537" s="182"/>
      <c r="AY537" s="182"/>
      <c r="AZ537" s="182"/>
    </row>
    <row r="538" spans="3:52" ht="32">
      <c r="C538" s="664" t="s">
        <v>171</v>
      </c>
      <c r="D538" s="313"/>
      <c r="E538" s="313"/>
      <c r="F538" s="313">
        <f t="shared" si="210"/>
        <v>0</v>
      </c>
      <c r="G538" s="313">
        <f t="shared" si="210"/>
        <v>0</v>
      </c>
      <c r="H538" s="313">
        <f t="shared" si="210"/>
        <v>0</v>
      </c>
      <c r="I538" s="313">
        <f t="shared" si="210"/>
        <v>0</v>
      </c>
      <c r="J538" s="313">
        <f t="shared" si="210"/>
        <v>0</v>
      </c>
      <c r="K538" s="313">
        <f t="shared" si="210"/>
        <v>0</v>
      </c>
      <c r="L538" s="313">
        <f t="shared" si="210"/>
        <v>0</v>
      </c>
      <c r="M538" s="313">
        <f t="shared" si="210"/>
        <v>0</v>
      </c>
      <c r="N538" s="313">
        <f t="shared" si="210"/>
        <v>0</v>
      </c>
      <c r="O538" s="313">
        <f t="shared" si="210"/>
        <v>0</v>
      </c>
      <c r="P538" s="313">
        <f t="shared" si="210"/>
        <v>0</v>
      </c>
      <c r="Q538" s="683">
        <f t="shared" si="210"/>
        <v>0</v>
      </c>
      <c r="R538" s="182"/>
      <c r="S538" s="182"/>
      <c r="T538" s="182"/>
      <c r="U538" s="182"/>
      <c r="V538" s="182"/>
      <c r="W538" s="182"/>
      <c r="X538" s="182"/>
      <c r="Y538" s="182"/>
      <c r="Z538" s="182"/>
      <c r="AA538" s="182"/>
      <c r="AB538" s="182"/>
      <c r="AC538" s="182"/>
      <c r="AD538" s="182"/>
      <c r="AE538" s="182"/>
      <c r="AF538" s="182"/>
      <c r="AG538" s="182"/>
      <c r="AH538" s="182"/>
      <c r="AI538" s="182"/>
      <c r="AJ538" s="182"/>
      <c r="AK538" s="182"/>
      <c r="AL538" s="182"/>
      <c r="AM538" s="182"/>
      <c r="AN538" s="182"/>
      <c r="AO538" s="182"/>
      <c r="AP538" s="182"/>
      <c r="AQ538" s="182"/>
      <c r="AR538" s="182"/>
      <c r="AS538" s="182"/>
      <c r="AT538" s="182"/>
      <c r="AU538" s="182"/>
      <c r="AV538" s="182"/>
      <c r="AW538" s="182"/>
      <c r="AX538" s="182"/>
      <c r="AY538" s="182"/>
      <c r="AZ538" s="182"/>
    </row>
    <row r="539" spans="3:52" ht="16">
      <c r="C539" s="668" t="s">
        <v>212</v>
      </c>
      <c r="D539" s="37"/>
      <c r="E539" s="37"/>
      <c r="F539" s="37">
        <f t="shared" ref="F539:P539" si="211">SUM(F537:F538)</f>
        <v>0</v>
      </c>
      <c r="G539" s="37" t="e">
        <f t="shared" si="211"/>
        <v>#DIV/0!</v>
      </c>
      <c r="H539" s="37" t="e">
        <f t="shared" si="211"/>
        <v>#DIV/0!</v>
      </c>
      <c r="I539" s="37" t="e">
        <f t="shared" si="211"/>
        <v>#DIV/0!</v>
      </c>
      <c r="J539" s="37" t="e">
        <f t="shared" si="211"/>
        <v>#DIV/0!</v>
      </c>
      <c r="K539" s="37" t="e">
        <f t="shared" si="211"/>
        <v>#DIV/0!</v>
      </c>
      <c r="L539" s="37" t="e">
        <f t="shared" si="211"/>
        <v>#DIV/0!</v>
      </c>
      <c r="M539" s="37" t="e">
        <f t="shared" si="211"/>
        <v>#DIV/0!</v>
      </c>
      <c r="N539" s="37" t="e">
        <f t="shared" si="211"/>
        <v>#DIV/0!</v>
      </c>
      <c r="O539" s="37" t="e">
        <f t="shared" si="211"/>
        <v>#DIV/0!</v>
      </c>
      <c r="P539" s="37" t="e">
        <f t="shared" si="211"/>
        <v>#DIV/0!</v>
      </c>
      <c r="Q539" s="669" t="e">
        <f t="shared" ref="Q539" si="212">SUM(Q537:Q538)</f>
        <v>#DIV/0!</v>
      </c>
      <c r="R539" s="182"/>
      <c r="S539" s="182"/>
      <c r="T539" s="182"/>
      <c r="U539" s="182"/>
      <c r="V539" s="182"/>
      <c r="W539" s="182"/>
      <c r="X539" s="182"/>
      <c r="Y539" s="182"/>
      <c r="Z539" s="182"/>
      <c r="AA539" s="182"/>
      <c r="AB539" s="182"/>
      <c r="AC539" s="182"/>
      <c r="AD539" s="182"/>
      <c r="AE539" s="182"/>
      <c r="AF539" s="182"/>
      <c r="AG539" s="182"/>
      <c r="AH539" s="182"/>
      <c r="AI539" s="182"/>
      <c r="AJ539" s="182"/>
      <c r="AK539" s="182"/>
      <c r="AL539" s="182"/>
      <c r="AM539" s="182"/>
      <c r="AN539" s="182"/>
      <c r="AO539" s="182"/>
      <c r="AP539" s="182"/>
      <c r="AQ539" s="182"/>
      <c r="AR539" s="182"/>
      <c r="AS539" s="182"/>
      <c r="AT539" s="182"/>
      <c r="AU539" s="182"/>
      <c r="AV539" s="182"/>
      <c r="AW539" s="182"/>
      <c r="AX539" s="182"/>
      <c r="AY539" s="182"/>
      <c r="AZ539" s="182"/>
    </row>
    <row r="540" spans="3:52" ht="16">
      <c r="C540" s="686" t="s">
        <v>213</v>
      </c>
      <c r="D540" s="332"/>
      <c r="E540" s="332"/>
      <c r="F540" s="332" t="e">
        <f t="shared" ref="F540:Q540" si="213">F539/F$462</f>
        <v>#DIV/0!</v>
      </c>
      <c r="G540" s="332" t="e">
        <f t="shared" si="213"/>
        <v>#DIV/0!</v>
      </c>
      <c r="H540" s="332" t="e">
        <f t="shared" si="213"/>
        <v>#DIV/0!</v>
      </c>
      <c r="I540" s="332" t="e">
        <f t="shared" si="213"/>
        <v>#DIV/0!</v>
      </c>
      <c r="J540" s="332" t="e">
        <f t="shared" si="213"/>
        <v>#DIV/0!</v>
      </c>
      <c r="K540" s="332" t="e">
        <f t="shared" si="213"/>
        <v>#DIV/0!</v>
      </c>
      <c r="L540" s="332" t="e">
        <f t="shared" si="213"/>
        <v>#DIV/0!</v>
      </c>
      <c r="M540" s="332" t="e">
        <f t="shared" si="213"/>
        <v>#DIV/0!</v>
      </c>
      <c r="N540" s="332" t="e">
        <f t="shared" si="213"/>
        <v>#DIV/0!</v>
      </c>
      <c r="O540" s="332" t="e">
        <f t="shared" si="213"/>
        <v>#DIV/0!</v>
      </c>
      <c r="P540" s="332" t="e">
        <f t="shared" si="213"/>
        <v>#DIV/0!</v>
      </c>
      <c r="Q540" s="698" t="e">
        <f t="shared" si="213"/>
        <v>#DIV/0!</v>
      </c>
      <c r="R540" s="333"/>
      <c r="S540" s="333"/>
      <c r="T540" s="333"/>
      <c r="U540" s="333"/>
      <c r="V540" s="333"/>
      <c r="W540" s="333"/>
      <c r="X540" s="333"/>
      <c r="Y540" s="333"/>
      <c r="Z540" s="333"/>
      <c r="AA540" s="333"/>
      <c r="AB540" s="333"/>
      <c r="AC540" s="333"/>
      <c r="AD540" s="333"/>
      <c r="AE540" s="333"/>
      <c r="AF540" s="333"/>
      <c r="AG540" s="333"/>
      <c r="AH540" s="333"/>
      <c r="AI540" s="333"/>
      <c r="AJ540" s="333"/>
      <c r="AK540" s="333"/>
      <c r="AL540" s="333"/>
      <c r="AM540" s="333"/>
      <c r="AN540" s="333"/>
      <c r="AO540" s="333"/>
      <c r="AP540" s="333"/>
      <c r="AQ540" s="333"/>
      <c r="AR540" s="333"/>
      <c r="AS540" s="333"/>
      <c r="AT540" s="333"/>
      <c r="AU540" s="333"/>
      <c r="AV540" s="333"/>
      <c r="AW540" s="333"/>
      <c r="AX540" s="333"/>
      <c r="AY540" s="333"/>
      <c r="AZ540" s="333"/>
    </row>
    <row r="541" spans="3:52" ht="16">
      <c r="C541" s="668" t="s">
        <v>214</v>
      </c>
      <c r="D541" s="37"/>
      <c r="E541" s="37"/>
      <c r="F541" s="37" t="e">
        <f t="shared" ref="F541:Q541" si="214">F540*HLOOKUP((F531+F534),$E461:$AZ462,2,FALSE)</f>
        <v>#DIV/0!</v>
      </c>
      <c r="G541" s="37" t="e">
        <f t="shared" si="214"/>
        <v>#DIV/0!</v>
      </c>
      <c r="H541" s="37" t="e">
        <f t="shared" si="214"/>
        <v>#DIV/0!</v>
      </c>
      <c r="I541" s="37" t="e">
        <f t="shared" si="214"/>
        <v>#DIV/0!</v>
      </c>
      <c r="J541" s="37" t="e">
        <f t="shared" si="214"/>
        <v>#DIV/0!</v>
      </c>
      <c r="K541" s="37" t="e">
        <f t="shared" si="214"/>
        <v>#DIV/0!</v>
      </c>
      <c r="L541" s="37" t="e">
        <f t="shared" si="214"/>
        <v>#DIV/0!</v>
      </c>
      <c r="M541" s="37" t="e">
        <f t="shared" si="214"/>
        <v>#DIV/0!</v>
      </c>
      <c r="N541" s="37" t="e">
        <f t="shared" si="214"/>
        <v>#DIV/0!</v>
      </c>
      <c r="O541" s="37" t="e">
        <f t="shared" si="214"/>
        <v>#DIV/0!</v>
      </c>
      <c r="P541" s="37" t="e">
        <f t="shared" si="214"/>
        <v>#DIV/0!</v>
      </c>
      <c r="Q541" s="669" t="e">
        <f t="shared" si="214"/>
        <v>#DIV/0!</v>
      </c>
      <c r="R541" s="182"/>
      <c r="S541" s="182"/>
      <c r="T541" s="182"/>
      <c r="U541" s="182"/>
      <c r="V541" s="182"/>
      <c r="W541" s="182"/>
      <c r="X541" s="182"/>
      <c r="Y541" s="182"/>
      <c r="Z541" s="182"/>
      <c r="AA541" s="182"/>
      <c r="AB541" s="182"/>
      <c r="AC541" s="182"/>
      <c r="AD541" s="182"/>
      <c r="AE541" s="182"/>
      <c r="AF541" s="182"/>
      <c r="AG541" s="182"/>
      <c r="AH541" s="182"/>
      <c r="AI541" s="182"/>
      <c r="AJ541" s="182"/>
      <c r="AK541" s="182"/>
      <c r="AL541" s="182"/>
      <c r="AM541" s="182"/>
      <c r="AN541" s="182"/>
      <c r="AO541" s="182"/>
      <c r="AP541" s="182"/>
      <c r="AQ541" s="182"/>
      <c r="AR541" s="182"/>
      <c r="AS541" s="182"/>
      <c r="AT541" s="182"/>
      <c r="AU541" s="182"/>
      <c r="AV541" s="182"/>
      <c r="AW541" s="182"/>
      <c r="AX541" s="182"/>
      <c r="AY541" s="182"/>
      <c r="AZ541" s="182"/>
    </row>
    <row r="542" spans="3:52">
      <c r="C542" s="664"/>
      <c r="D542" s="283"/>
      <c r="E542" s="283"/>
      <c r="F542" s="283"/>
      <c r="G542" s="283"/>
      <c r="H542" s="283"/>
      <c r="I542" s="283"/>
      <c r="J542" s="283"/>
      <c r="K542" s="283"/>
      <c r="L542" s="283"/>
      <c r="M542" s="283"/>
      <c r="N542" s="283"/>
      <c r="O542" s="283"/>
      <c r="P542" s="283"/>
      <c r="Q542" s="667"/>
      <c r="R542" s="182"/>
      <c r="S542" s="182"/>
      <c r="T542" s="182"/>
      <c r="U542" s="182"/>
      <c r="V542" s="182"/>
      <c r="W542" s="182"/>
      <c r="X542" s="182"/>
      <c r="Y542" s="182"/>
      <c r="Z542" s="182"/>
      <c r="AA542" s="182"/>
      <c r="AB542" s="182"/>
      <c r="AC542" s="182"/>
      <c r="AD542" s="182"/>
      <c r="AE542" s="182"/>
      <c r="AF542" s="182"/>
      <c r="AG542" s="182"/>
      <c r="AH542" s="182"/>
      <c r="AI542" s="182"/>
      <c r="AJ542" s="182"/>
      <c r="AK542" s="182"/>
      <c r="AL542" s="182"/>
      <c r="AM542" s="182"/>
      <c r="AN542" s="182"/>
      <c r="AO542" s="182"/>
      <c r="AP542" s="182"/>
      <c r="AQ542" s="182"/>
      <c r="AR542" s="182"/>
      <c r="AS542" s="182"/>
      <c r="AT542" s="182"/>
      <c r="AU542" s="182"/>
      <c r="AV542" s="182"/>
      <c r="AW542" s="182"/>
      <c r="AX542" s="182"/>
      <c r="AY542" s="182"/>
      <c r="AZ542" s="182"/>
    </row>
    <row r="543" spans="3:52" ht="16">
      <c r="C543" s="664" t="s">
        <v>184</v>
      </c>
      <c r="D543" s="283"/>
      <c r="E543" s="283"/>
      <c r="F543" s="283" t="e">
        <f t="shared" ref="F543:Q543" si="215">-NPV(F533,F539,F546:F574,(F575-F541))</f>
        <v>#DIV/0!</v>
      </c>
      <c r="G543" s="283" t="e">
        <f t="shared" si="215"/>
        <v>#DIV/0!</v>
      </c>
      <c r="H543" s="283" t="e">
        <f t="shared" si="215"/>
        <v>#DIV/0!</v>
      </c>
      <c r="I543" s="283" t="e">
        <f t="shared" si="215"/>
        <v>#DIV/0!</v>
      </c>
      <c r="J543" s="283" t="e">
        <f t="shared" si="215"/>
        <v>#DIV/0!</v>
      </c>
      <c r="K543" s="283" t="e">
        <f t="shared" si="215"/>
        <v>#DIV/0!</v>
      </c>
      <c r="L543" s="283" t="e">
        <f t="shared" si="215"/>
        <v>#DIV/0!</v>
      </c>
      <c r="M543" s="283" t="e">
        <f t="shared" si="215"/>
        <v>#DIV/0!</v>
      </c>
      <c r="N543" s="283" t="e">
        <f t="shared" si="215"/>
        <v>#DIV/0!</v>
      </c>
      <c r="O543" s="283" t="e">
        <f t="shared" si="215"/>
        <v>#DIV/0!</v>
      </c>
      <c r="P543" s="283" t="e">
        <f t="shared" si="215"/>
        <v>#DIV/0!</v>
      </c>
      <c r="Q543" s="667" t="e">
        <f t="shared" si="215"/>
        <v>#DIV/0!</v>
      </c>
      <c r="R543" s="283"/>
      <c r="S543" s="283"/>
      <c r="T543" s="182"/>
      <c r="U543" s="182"/>
      <c r="V543" s="182"/>
      <c r="W543" s="182"/>
      <c r="X543" s="182"/>
      <c r="Y543" s="182"/>
      <c r="Z543" s="182"/>
      <c r="AA543" s="182"/>
      <c r="AB543" s="182"/>
      <c r="AC543" s="182"/>
      <c r="AD543" s="182"/>
      <c r="AE543" s="182"/>
      <c r="AF543" s="182"/>
      <c r="AG543" s="182"/>
      <c r="AH543" s="182"/>
      <c r="AI543" s="182"/>
      <c r="AJ543" s="182"/>
      <c r="AK543" s="182"/>
      <c r="AL543" s="182"/>
      <c r="AM543" s="182"/>
      <c r="AN543" s="182"/>
      <c r="AO543" s="182"/>
      <c r="AP543" s="182"/>
      <c r="AQ543" s="182"/>
      <c r="AR543" s="182"/>
      <c r="AS543" s="182"/>
      <c r="AT543" s="182"/>
      <c r="AU543" s="182"/>
      <c r="AV543" s="182"/>
      <c r="AW543" s="182"/>
      <c r="AX543" s="182"/>
      <c r="AY543" s="182"/>
      <c r="AZ543" s="182"/>
    </row>
    <row r="544" spans="3:52">
      <c r="C544" s="700">
        <f>-D$540*D$532*D$462/2</f>
        <v>0</v>
      </c>
      <c r="D544" s="283"/>
      <c r="E544" s="283"/>
      <c r="F544" s="283"/>
      <c r="G544" s="283"/>
      <c r="H544" s="283"/>
      <c r="I544" s="283"/>
      <c r="J544" s="283"/>
      <c r="K544" s="283"/>
      <c r="L544" s="283"/>
      <c r="M544" s="283"/>
      <c r="N544" s="283"/>
      <c r="O544" s="283"/>
      <c r="P544" s="283"/>
      <c r="Q544" s="667"/>
      <c r="R544" s="182"/>
      <c r="S544" s="182"/>
      <c r="T544" s="182"/>
      <c r="U544" s="182"/>
      <c r="V544" s="182"/>
      <c r="W544" s="182"/>
      <c r="X544" s="182"/>
      <c r="Y544" s="182"/>
      <c r="Z544" s="182"/>
      <c r="AA544" s="182"/>
      <c r="AB544" s="182"/>
      <c r="AC544" s="182"/>
      <c r="AD544" s="182"/>
      <c r="AE544" s="182"/>
      <c r="AF544" s="182"/>
      <c r="AG544" s="182"/>
      <c r="AH544" s="182"/>
      <c r="AI544" s="182"/>
      <c r="AJ544" s="182"/>
      <c r="AK544" s="182"/>
      <c r="AL544" s="182"/>
      <c r="AM544" s="182"/>
      <c r="AN544" s="182"/>
      <c r="AO544" s="182"/>
      <c r="AP544" s="182"/>
      <c r="AQ544" s="182"/>
      <c r="AR544" s="182"/>
      <c r="AS544" s="182"/>
      <c r="AT544" s="182"/>
      <c r="AU544" s="182"/>
      <c r="AV544" s="182"/>
      <c r="AW544" s="182"/>
      <c r="AX544" s="182"/>
      <c r="AY544" s="182"/>
      <c r="AZ544" s="182"/>
    </row>
    <row r="545" spans="3:52">
      <c r="C545" s="664">
        <v>0</v>
      </c>
      <c r="D545" s="283"/>
      <c r="E545" s="283"/>
      <c r="F545" s="283"/>
      <c r="G545" s="283"/>
      <c r="H545" s="283"/>
      <c r="I545" s="283"/>
      <c r="J545" s="283"/>
      <c r="K545" s="283"/>
      <c r="L545" s="283"/>
      <c r="M545" s="283"/>
      <c r="N545" s="283"/>
      <c r="O545" s="283"/>
      <c r="P545" s="283"/>
      <c r="Q545" s="667"/>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c r="AR545" s="182"/>
      <c r="AS545" s="182"/>
      <c r="AT545" s="182"/>
      <c r="AU545" s="182"/>
      <c r="AV545" s="182"/>
      <c r="AW545" s="182"/>
      <c r="AX545" s="182"/>
      <c r="AY545" s="182"/>
      <c r="AZ545" s="182"/>
    </row>
    <row r="546" spans="3:52">
      <c r="C546" s="664">
        <v>1</v>
      </c>
      <c r="D546" s="283"/>
      <c r="E546" s="283"/>
      <c r="F546" s="283" t="e">
        <f t="shared" ref="F546:Q555" si="216">-F$540*F$532*HLOOKUP((F$531+$C546),$E$461:$AZ$462,2,FALSE)</f>
        <v>#DIV/0!</v>
      </c>
      <c r="G546" s="283" t="e">
        <f t="shared" si="216"/>
        <v>#DIV/0!</v>
      </c>
      <c r="H546" s="283" t="e">
        <f t="shared" si="216"/>
        <v>#DIV/0!</v>
      </c>
      <c r="I546" s="283" t="e">
        <f t="shared" si="216"/>
        <v>#DIV/0!</v>
      </c>
      <c r="J546" s="283" t="e">
        <f t="shared" si="216"/>
        <v>#DIV/0!</v>
      </c>
      <c r="K546" s="283" t="e">
        <f t="shared" si="216"/>
        <v>#DIV/0!</v>
      </c>
      <c r="L546" s="283" t="e">
        <f t="shared" si="216"/>
        <v>#DIV/0!</v>
      </c>
      <c r="M546" s="283" t="e">
        <f t="shared" si="216"/>
        <v>#DIV/0!</v>
      </c>
      <c r="N546" s="283" t="e">
        <f t="shared" si="216"/>
        <v>#DIV/0!</v>
      </c>
      <c r="O546" s="283" t="e">
        <f t="shared" si="216"/>
        <v>#DIV/0!</v>
      </c>
      <c r="P546" s="283" t="e">
        <f t="shared" si="216"/>
        <v>#DIV/0!</v>
      </c>
      <c r="Q546" s="667" t="e">
        <f t="shared" si="216"/>
        <v>#DIV/0!</v>
      </c>
      <c r="R546" s="182"/>
      <c r="S546" s="182"/>
      <c r="T546" s="182"/>
      <c r="U546" s="182"/>
      <c r="V546" s="182"/>
      <c r="W546" s="182"/>
      <c r="X546" s="182"/>
      <c r="Y546" s="182"/>
      <c r="Z546" s="182"/>
      <c r="AA546" s="182"/>
      <c r="AB546" s="182"/>
      <c r="AC546" s="182"/>
      <c r="AD546" s="182"/>
      <c r="AE546" s="182"/>
      <c r="AF546" s="182"/>
      <c r="AG546" s="182"/>
      <c r="AH546" s="182"/>
      <c r="AI546" s="182"/>
      <c r="AJ546" s="182"/>
      <c r="AK546" s="182"/>
      <c r="AL546" s="182"/>
      <c r="AM546" s="182"/>
      <c r="AN546" s="182"/>
      <c r="AO546" s="182"/>
      <c r="AP546" s="182"/>
      <c r="AQ546" s="182"/>
      <c r="AR546" s="182"/>
      <c r="AS546" s="182"/>
      <c r="AT546" s="182"/>
      <c r="AU546" s="182"/>
      <c r="AV546" s="182"/>
      <c r="AW546" s="182"/>
      <c r="AX546" s="182"/>
      <c r="AY546" s="182"/>
      <c r="AZ546" s="182"/>
    </row>
    <row r="547" spans="3:52">
      <c r="C547" s="664">
        <v>2</v>
      </c>
      <c r="D547" s="283"/>
      <c r="E547" s="283"/>
      <c r="F547" s="283" t="e">
        <f t="shared" si="216"/>
        <v>#DIV/0!</v>
      </c>
      <c r="G547" s="283" t="e">
        <f t="shared" si="216"/>
        <v>#DIV/0!</v>
      </c>
      <c r="H547" s="283" t="e">
        <f t="shared" si="216"/>
        <v>#DIV/0!</v>
      </c>
      <c r="I547" s="283" t="e">
        <f t="shared" si="216"/>
        <v>#DIV/0!</v>
      </c>
      <c r="J547" s="283" t="e">
        <f t="shared" si="216"/>
        <v>#DIV/0!</v>
      </c>
      <c r="K547" s="283" t="e">
        <f t="shared" si="216"/>
        <v>#DIV/0!</v>
      </c>
      <c r="L547" s="283" t="e">
        <f t="shared" si="216"/>
        <v>#DIV/0!</v>
      </c>
      <c r="M547" s="283" t="e">
        <f t="shared" si="216"/>
        <v>#DIV/0!</v>
      </c>
      <c r="N547" s="283" t="e">
        <f t="shared" si="216"/>
        <v>#DIV/0!</v>
      </c>
      <c r="O547" s="283" t="e">
        <f t="shared" si="216"/>
        <v>#DIV/0!</v>
      </c>
      <c r="P547" s="283" t="e">
        <f t="shared" si="216"/>
        <v>#DIV/0!</v>
      </c>
      <c r="Q547" s="667" t="e">
        <f t="shared" si="216"/>
        <v>#DIV/0!</v>
      </c>
      <c r="R547" s="182"/>
      <c r="S547" s="182"/>
      <c r="T547" s="182"/>
      <c r="U547" s="182"/>
      <c r="V547" s="182"/>
      <c r="W547" s="182"/>
      <c r="X547" s="182"/>
      <c r="Y547" s="182"/>
      <c r="Z547" s="182"/>
      <c r="AA547" s="182"/>
      <c r="AB547" s="182"/>
      <c r="AC547" s="182"/>
      <c r="AD547" s="182"/>
      <c r="AE547" s="182"/>
      <c r="AF547" s="182"/>
      <c r="AG547" s="182"/>
      <c r="AH547" s="182"/>
      <c r="AI547" s="182"/>
      <c r="AJ547" s="182"/>
      <c r="AK547" s="182"/>
      <c r="AL547" s="182"/>
      <c r="AM547" s="182"/>
      <c r="AN547" s="182"/>
      <c r="AO547" s="182"/>
      <c r="AP547" s="182"/>
      <c r="AQ547" s="182"/>
      <c r="AR547" s="182"/>
      <c r="AS547" s="182"/>
      <c r="AT547" s="182"/>
      <c r="AU547" s="182"/>
      <c r="AV547" s="182"/>
      <c r="AW547" s="182"/>
      <c r="AX547" s="182"/>
      <c r="AY547" s="182"/>
      <c r="AZ547" s="182"/>
    </row>
    <row r="548" spans="3:52">
      <c r="C548" s="664">
        <v>3</v>
      </c>
      <c r="D548" s="283"/>
      <c r="E548" s="283"/>
      <c r="F548" s="283" t="e">
        <f t="shared" si="216"/>
        <v>#DIV/0!</v>
      </c>
      <c r="G548" s="283" t="e">
        <f t="shared" si="216"/>
        <v>#DIV/0!</v>
      </c>
      <c r="H548" s="283" t="e">
        <f t="shared" si="216"/>
        <v>#DIV/0!</v>
      </c>
      <c r="I548" s="283" t="e">
        <f t="shared" si="216"/>
        <v>#DIV/0!</v>
      </c>
      <c r="J548" s="283" t="e">
        <f t="shared" si="216"/>
        <v>#DIV/0!</v>
      </c>
      <c r="K548" s="283" t="e">
        <f t="shared" si="216"/>
        <v>#DIV/0!</v>
      </c>
      <c r="L548" s="283" t="e">
        <f t="shared" si="216"/>
        <v>#DIV/0!</v>
      </c>
      <c r="M548" s="283" t="e">
        <f t="shared" si="216"/>
        <v>#DIV/0!</v>
      </c>
      <c r="N548" s="283" t="e">
        <f t="shared" si="216"/>
        <v>#DIV/0!</v>
      </c>
      <c r="O548" s="283" t="e">
        <f t="shared" si="216"/>
        <v>#DIV/0!</v>
      </c>
      <c r="P548" s="283" t="e">
        <f t="shared" si="216"/>
        <v>#DIV/0!</v>
      </c>
      <c r="Q548" s="667" t="e">
        <f t="shared" si="216"/>
        <v>#DIV/0!</v>
      </c>
      <c r="R548" s="182"/>
      <c r="S548" s="182"/>
      <c r="T548" s="182"/>
      <c r="U548" s="182"/>
      <c r="V548" s="182"/>
      <c r="W548" s="182"/>
      <c r="X548" s="182"/>
      <c r="Y548" s="182"/>
      <c r="Z548" s="182"/>
      <c r="AA548" s="182"/>
      <c r="AB548" s="182"/>
      <c r="AC548" s="182"/>
      <c r="AD548" s="182"/>
      <c r="AE548" s="182"/>
      <c r="AF548" s="182"/>
      <c r="AG548" s="182"/>
      <c r="AH548" s="182"/>
      <c r="AI548" s="182"/>
      <c r="AJ548" s="182"/>
      <c r="AK548" s="182"/>
      <c r="AL548" s="182"/>
      <c r="AM548" s="182"/>
      <c r="AN548" s="182"/>
      <c r="AO548" s="182"/>
      <c r="AP548" s="182"/>
      <c r="AQ548" s="182"/>
      <c r="AR548" s="182"/>
      <c r="AS548" s="182"/>
      <c r="AT548" s="182"/>
      <c r="AU548" s="182"/>
      <c r="AV548" s="182"/>
      <c r="AW548" s="182"/>
      <c r="AX548" s="182"/>
      <c r="AY548" s="182"/>
      <c r="AZ548" s="182"/>
    </row>
    <row r="549" spans="3:52">
      <c r="C549" s="664">
        <v>4</v>
      </c>
      <c r="D549" s="283"/>
      <c r="E549" s="283"/>
      <c r="F549" s="283" t="e">
        <f t="shared" si="216"/>
        <v>#DIV/0!</v>
      </c>
      <c r="G549" s="283" t="e">
        <f t="shared" si="216"/>
        <v>#DIV/0!</v>
      </c>
      <c r="H549" s="283" t="e">
        <f t="shared" si="216"/>
        <v>#DIV/0!</v>
      </c>
      <c r="I549" s="283" t="e">
        <f t="shared" si="216"/>
        <v>#DIV/0!</v>
      </c>
      <c r="J549" s="283" t="e">
        <f t="shared" si="216"/>
        <v>#DIV/0!</v>
      </c>
      <c r="K549" s="283" t="e">
        <f t="shared" si="216"/>
        <v>#DIV/0!</v>
      </c>
      <c r="L549" s="283" t="e">
        <f t="shared" si="216"/>
        <v>#DIV/0!</v>
      </c>
      <c r="M549" s="283" t="e">
        <f t="shared" si="216"/>
        <v>#DIV/0!</v>
      </c>
      <c r="N549" s="283" t="e">
        <f t="shared" si="216"/>
        <v>#DIV/0!</v>
      </c>
      <c r="O549" s="283" t="e">
        <f t="shared" si="216"/>
        <v>#DIV/0!</v>
      </c>
      <c r="P549" s="283" t="e">
        <f t="shared" si="216"/>
        <v>#DIV/0!</v>
      </c>
      <c r="Q549" s="667" t="e">
        <f t="shared" si="216"/>
        <v>#DIV/0!</v>
      </c>
      <c r="R549" s="182"/>
      <c r="S549" s="182"/>
      <c r="T549" s="182"/>
      <c r="U549" s="182"/>
      <c r="V549" s="182"/>
      <c r="W549" s="182"/>
      <c r="X549" s="182"/>
      <c r="Y549" s="182"/>
      <c r="Z549" s="182"/>
      <c r="AA549" s="182"/>
      <c r="AB549" s="182"/>
      <c r="AC549" s="182"/>
      <c r="AD549" s="182"/>
      <c r="AE549" s="182"/>
      <c r="AF549" s="182"/>
      <c r="AG549" s="182"/>
      <c r="AH549" s="182"/>
      <c r="AI549" s="182"/>
      <c r="AJ549" s="182"/>
      <c r="AK549" s="182"/>
      <c r="AL549" s="182"/>
      <c r="AM549" s="182"/>
      <c r="AN549" s="182"/>
      <c r="AO549" s="182"/>
      <c r="AP549" s="182"/>
      <c r="AQ549" s="182"/>
      <c r="AR549" s="182"/>
      <c r="AS549" s="182"/>
      <c r="AT549" s="182"/>
      <c r="AU549" s="182"/>
      <c r="AV549" s="182"/>
      <c r="AW549" s="182"/>
      <c r="AX549" s="182"/>
      <c r="AY549" s="182"/>
      <c r="AZ549" s="182"/>
    </row>
    <row r="550" spans="3:52">
      <c r="C550" s="664">
        <v>5</v>
      </c>
      <c r="D550" s="283"/>
      <c r="E550" s="283"/>
      <c r="F550" s="283" t="e">
        <f t="shared" si="216"/>
        <v>#DIV/0!</v>
      </c>
      <c r="G550" s="283" t="e">
        <f t="shared" si="216"/>
        <v>#DIV/0!</v>
      </c>
      <c r="H550" s="283" t="e">
        <f t="shared" si="216"/>
        <v>#DIV/0!</v>
      </c>
      <c r="I550" s="283" t="e">
        <f t="shared" si="216"/>
        <v>#DIV/0!</v>
      </c>
      <c r="J550" s="283" t="e">
        <f t="shared" si="216"/>
        <v>#DIV/0!</v>
      </c>
      <c r="K550" s="283" t="e">
        <f t="shared" si="216"/>
        <v>#DIV/0!</v>
      </c>
      <c r="L550" s="283" t="e">
        <f t="shared" si="216"/>
        <v>#DIV/0!</v>
      </c>
      <c r="M550" s="283" t="e">
        <f t="shared" si="216"/>
        <v>#DIV/0!</v>
      </c>
      <c r="N550" s="283" t="e">
        <f t="shared" si="216"/>
        <v>#DIV/0!</v>
      </c>
      <c r="O550" s="283" t="e">
        <f t="shared" si="216"/>
        <v>#DIV/0!</v>
      </c>
      <c r="P550" s="283" t="e">
        <f t="shared" si="216"/>
        <v>#DIV/0!</v>
      </c>
      <c r="Q550" s="667" t="e">
        <f t="shared" si="216"/>
        <v>#DIV/0!</v>
      </c>
      <c r="R550" s="182"/>
      <c r="S550" s="182"/>
      <c r="T550" s="182"/>
      <c r="U550" s="182"/>
      <c r="V550" s="182"/>
      <c r="W550" s="182"/>
      <c r="X550" s="182"/>
      <c r="Y550" s="182"/>
      <c r="Z550" s="182"/>
      <c r="AA550" s="182"/>
      <c r="AB550" s="182"/>
      <c r="AC550" s="182"/>
      <c r="AD550" s="182"/>
      <c r="AE550" s="182"/>
      <c r="AF550" s="182"/>
      <c r="AG550" s="182"/>
      <c r="AH550" s="182"/>
      <c r="AI550" s="182"/>
      <c r="AJ550" s="182"/>
      <c r="AK550" s="182"/>
      <c r="AL550" s="182"/>
      <c r="AM550" s="182"/>
      <c r="AN550" s="182"/>
      <c r="AO550" s="182"/>
      <c r="AP550" s="182"/>
      <c r="AQ550" s="182"/>
      <c r="AR550" s="182"/>
      <c r="AS550" s="182"/>
      <c r="AT550" s="182"/>
      <c r="AU550" s="182"/>
      <c r="AV550" s="182"/>
      <c r="AW550" s="182"/>
      <c r="AX550" s="182"/>
      <c r="AY550" s="182"/>
      <c r="AZ550" s="182"/>
    </row>
    <row r="551" spans="3:52">
      <c r="C551" s="664">
        <v>6</v>
      </c>
      <c r="D551" s="283"/>
      <c r="E551" s="283"/>
      <c r="F551" s="283" t="e">
        <f t="shared" si="216"/>
        <v>#DIV/0!</v>
      </c>
      <c r="G551" s="283" t="e">
        <f t="shared" si="216"/>
        <v>#DIV/0!</v>
      </c>
      <c r="H551" s="283" t="e">
        <f t="shared" si="216"/>
        <v>#DIV/0!</v>
      </c>
      <c r="I551" s="283" t="e">
        <f t="shared" si="216"/>
        <v>#DIV/0!</v>
      </c>
      <c r="J551" s="283" t="e">
        <f t="shared" si="216"/>
        <v>#DIV/0!</v>
      </c>
      <c r="K551" s="283" t="e">
        <f t="shared" si="216"/>
        <v>#DIV/0!</v>
      </c>
      <c r="L551" s="283" t="e">
        <f t="shared" si="216"/>
        <v>#DIV/0!</v>
      </c>
      <c r="M551" s="283" t="e">
        <f t="shared" si="216"/>
        <v>#DIV/0!</v>
      </c>
      <c r="N551" s="283" t="e">
        <f t="shared" si="216"/>
        <v>#DIV/0!</v>
      </c>
      <c r="O551" s="283" t="e">
        <f t="shared" si="216"/>
        <v>#DIV/0!</v>
      </c>
      <c r="P551" s="283" t="e">
        <f t="shared" si="216"/>
        <v>#DIV/0!</v>
      </c>
      <c r="Q551" s="667" t="e">
        <f t="shared" si="216"/>
        <v>#DIV/0!</v>
      </c>
      <c r="R551" s="182"/>
      <c r="S551" s="182"/>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c r="AR551" s="182"/>
      <c r="AS551" s="182"/>
      <c r="AT551" s="182"/>
      <c r="AU551" s="182"/>
      <c r="AV551" s="182"/>
      <c r="AW551" s="182"/>
      <c r="AX551" s="182"/>
      <c r="AY551" s="182"/>
      <c r="AZ551" s="182"/>
    </row>
    <row r="552" spans="3:52">
      <c r="C552" s="664">
        <v>7</v>
      </c>
      <c r="D552" s="283"/>
      <c r="E552" s="283"/>
      <c r="F552" s="283" t="e">
        <f t="shared" si="216"/>
        <v>#DIV/0!</v>
      </c>
      <c r="G552" s="283" t="e">
        <f t="shared" si="216"/>
        <v>#DIV/0!</v>
      </c>
      <c r="H552" s="283" t="e">
        <f t="shared" si="216"/>
        <v>#DIV/0!</v>
      </c>
      <c r="I552" s="283" t="e">
        <f t="shared" si="216"/>
        <v>#DIV/0!</v>
      </c>
      <c r="J552" s="283" t="e">
        <f t="shared" si="216"/>
        <v>#DIV/0!</v>
      </c>
      <c r="K552" s="283" t="e">
        <f t="shared" si="216"/>
        <v>#DIV/0!</v>
      </c>
      <c r="L552" s="283" t="e">
        <f t="shared" si="216"/>
        <v>#DIV/0!</v>
      </c>
      <c r="M552" s="283" t="e">
        <f t="shared" si="216"/>
        <v>#DIV/0!</v>
      </c>
      <c r="N552" s="283" t="e">
        <f t="shared" si="216"/>
        <v>#DIV/0!</v>
      </c>
      <c r="O552" s="283" t="e">
        <f t="shared" si="216"/>
        <v>#DIV/0!</v>
      </c>
      <c r="P552" s="283" t="e">
        <f t="shared" si="216"/>
        <v>#DIV/0!</v>
      </c>
      <c r="Q552" s="667" t="e">
        <f t="shared" si="216"/>
        <v>#DIV/0!</v>
      </c>
      <c r="R552" s="182"/>
      <c r="S552" s="182"/>
      <c r="T552" s="182"/>
      <c r="U552" s="182"/>
      <c r="V552" s="182"/>
      <c r="W552" s="182"/>
      <c r="X552" s="182"/>
      <c r="Y552" s="182"/>
      <c r="Z552" s="182"/>
      <c r="AA552" s="182"/>
      <c r="AB552" s="182"/>
      <c r="AC552" s="182"/>
      <c r="AD552" s="182"/>
      <c r="AE552" s="182"/>
      <c r="AF552" s="182"/>
      <c r="AG552" s="182"/>
      <c r="AH552" s="182"/>
      <c r="AI552" s="182"/>
      <c r="AJ552" s="182"/>
      <c r="AK552" s="182"/>
      <c r="AL552" s="182"/>
      <c r="AM552" s="182"/>
      <c r="AN552" s="182"/>
      <c r="AO552" s="182"/>
      <c r="AP552" s="182"/>
      <c r="AQ552" s="182"/>
      <c r="AR552" s="182"/>
      <c r="AS552" s="182"/>
      <c r="AT552" s="182"/>
      <c r="AU552" s="182"/>
      <c r="AV552" s="182"/>
      <c r="AW552" s="182"/>
      <c r="AX552" s="182"/>
      <c r="AY552" s="182"/>
      <c r="AZ552" s="182"/>
    </row>
    <row r="553" spans="3:52">
      <c r="C553" s="664">
        <v>8</v>
      </c>
      <c r="D553" s="283"/>
      <c r="E553" s="283"/>
      <c r="F553" s="283" t="e">
        <f t="shared" si="216"/>
        <v>#DIV/0!</v>
      </c>
      <c r="G553" s="283" t="e">
        <f t="shared" si="216"/>
        <v>#DIV/0!</v>
      </c>
      <c r="H553" s="283" t="e">
        <f t="shared" si="216"/>
        <v>#DIV/0!</v>
      </c>
      <c r="I553" s="283" t="e">
        <f t="shared" si="216"/>
        <v>#DIV/0!</v>
      </c>
      <c r="J553" s="283" t="e">
        <f t="shared" si="216"/>
        <v>#DIV/0!</v>
      </c>
      <c r="K553" s="283" t="e">
        <f t="shared" si="216"/>
        <v>#DIV/0!</v>
      </c>
      <c r="L553" s="283" t="e">
        <f t="shared" si="216"/>
        <v>#DIV/0!</v>
      </c>
      <c r="M553" s="283" t="e">
        <f t="shared" si="216"/>
        <v>#DIV/0!</v>
      </c>
      <c r="N553" s="283" t="e">
        <f t="shared" si="216"/>
        <v>#DIV/0!</v>
      </c>
      <c r="O553" s="283" t="e">
        <f t="shared" si="216"/>
        <v>#DIV/0!</v>
      </c>
      <c r="P553" s="283" t="e">
        <f t="shared" si="216"/>
        <v>#DIV/0!</v>
      </c>
      <c r="Q553" s="667" t="e">
        <f t="shared" si="216"/>
        <v>#DIV/0!</v>
      </c>
      <c r="R553" s="182"/>
      <c r="S553" s="182"/>
      <c r="T553" s="182"/>
      <c r="U553" s="182"/>
      <c r="V553" s="182"/>
      <c r="W553" s="182"/>
      <c r="X553" s="182"/>
      <c r="Y553" s="182"/>
      <c r="Z553" s="182"/>
      <c r="AA553" s="182"/>
      <c r="AB553" s="182"/>
      <c r="AC553" s="182"/>
      <c r="AD553" s="182"/>
      <c r="AE553" s="182"/>
      <c r="AF553" s="182"/>
      <c r="AG553" s="182"/>
      <c r="AH553" s="182"/>
      <c r="AI553" s="182"/>
      <c r="AJ553" s="182"/>
      <c r="AK553" s="182"/>
      <c r="AL553" s="182"/>
      <c r="AM553" s="182"/>
      <c r="AN553" s="182"/>
      <c r="AO553" s="182"/>
      <c r="AP553" s="182"/>
      <c r="AQ553" s="182"/>
      <c r="AR553" s="182"/>
      <c r="AS553" s="182"/>
      <c r="AT553" s="182"/>
      <c r="AU553" s="182"/>
      <c r="AV553" s="182"/>
      <c r="AW553" s="182"/>
      <c r="AX553" s="182"/>
      <c r="AY553" s="182"/>
      <c r="AZ553" s="182"/>
    </row>
    <row r="554" spans="3:52">
      <c r="C554" s="664">
        <v>9</v>
      </c>
      <c r="D554" s="283"/>
      <c r="E554" s="283"/>
      <c r="F554" s="283" t="e">
        <f t="shared" si="216"/>
        <v>#DIV/0!</v>
      </c>
      <c r="G554" s="283" t="e">
        <f t="shared" si="216"/>
        <v>#DIV/0!</v>
      </c>
      <c r="H554" s="283" t="e">
        <f t="shared" si="216"/>
        <v>#DIV/0!</v>
      </c>
      <c r="I554" s="283" t="e">
        <f t="shared" si="216"/>
        <v>#DIV/0!</v>
      </c>
      <c r="J554" s="283" t="e">
        <f t="shared" si="216"/>
        <v>#DIV/0!</v>
      </c>
      <c r="K554" s="283" t="e">
        <f t="shared" si="216"/>
        <v>#DIV/0!</v>
      </c>
      <c r="L554" s="283" t="e">
        <f t="shared" si="216"/>
        <v>#DIV/0!</v>
      </c>
      <c r="M554" s="283" t="e">
        <f t="shared" si="216"/>
        <v>#DIV/0!</v>
      </c>
      <c r="N554" s="283" t="e">
        <f t="shared" si="216"/>
        <v>#DIV/0!</v>
      </c>
      <c r="O554" s="283" t="e">
        <f t="shared" si="216"/>
        <v>#DIV/0!</v>
      </c>
      <c r="P554" s="283" t="e">
        <f t="shared" si="216"/>
        <v>#DIV/0!</v>
      </c>
      <c r="Q554" s="667" t="e">
        <f t="shared" si="216"/>
        <v>#DIV/0!</v>
      </c>
      <c r="R554" s="182"/>
      <c r="S554" s="182"/>
      <c r="T554" s="182"/>
      <c r="U554" s="182"/>
      <c r="V554" s="182"/>
      <c r="W554" s="182"/>
      <c r="X554" s="182"/>
      <c r="Y554" s="182"/>
      <c r="Z554" s="182"/>
      <c r="AA554" s="182"/>
      <c r="AB554" s="182"/>
      <c r="AC554" s="182"/>
      <c r="AD554" s="182"/>
      <c r="AE554" s="182"/>
      <c r="AF554" s="182"/>
      <c r="AG554" s="182"/>
      <c r="AH554" s="182"/>
      <c r="AI554" s="182"/>
      <c r="AJ554" s="182"/>
      <c r="AK554" s="182"/>
      <c r="AL554" s="182"/>
      <c r="AM554" s="182"/>
      <c r="AN554" s="182"/>
      <c r="AO554" s="182"/>
      <c r="AP554" s="182"/>
      <c r="AQ554" s="182"/>
      <c r="AR554" s="182"/>
      <c r="AS554" s="182"/>
      <c r="AT554" s="182"/>
      <c r="AU554" s="182"/>
      <c r="AV554" s="182"/>
      <c r="AW554" s="182"/>
      <c r="AX554" s="182"/>
      <c r="AY554" s="182"/>
      <c r="AZ554" s="182"/>
    </row>
    <row r="555" spans="3:52">
      <c r="C555" s="664">
        <v>10</v>
      </c>
      <c r="D555" s="283"/>
      <c r="E555" s="283"/>
      <c r="F555" s="283" t="e">
        <f t="shared" si="216"/>
        <v>#DIV/0!</v>
      </c>
      <c r="G555" s="283" t="e">
        <f t="shared" si="216"/>
        <v>#DIV/0!</v>
      </c>
      <c r="H555" s="283" t="e">
        <f t="shared" si="216"/>
        <v>#DIV/0!</v>
      </c>
      <c r="I555" s="283" t="e">
        <f t="shared" si="216"/>
        <v>#DIV/0!</v>
      </c>
      <c r="J555" s="283" t="e">
        <f t="shared" si="216"/>
        <v>#DIV/0!</v>
      </c>
      <c r="K555" s="283" t="e">
        <f t="shared" si="216"/>
        <v>#DIV/0!</v>
      </c>
      <c r="L555" s="283" t="e">
        <f t="shared" si="216"/>
        <v>#DIV/0!</v>
      </c>
      <c r="M555" s="283" t="e">
        <f t="shared" si="216"/>
        <v>#DIV/0!</v>
      </c>
      <c r="N555" s="283" t="e">
        <f t="shared" si="216"/>
        <v>#DIV/0!</v>
      </c>
      <c r="O555" s="283" t="e">
        <f t="shared" si="216"/>
        <v>#DIV/0!</v>
      </c>
      <c r="P555" s="283" t="e">
        <f t="shared" si="216"/>
        <v>#DIV/0!</v>
      </c>
      <c r="Q555" s="667" t="e">
        <f t="shared" si="216"/>
        <v>#DIV/0!</v>
      </c>
      <c r="R555" s="182"/>
      <c r="S555" s="182"/>
      <c r="T555" s="182"/>
      <c r="U555" s="182"/>
      <c r="V555" s="182"/>
      <c r="W555" s="182"/>
      <c r="X555" s="182"/>
      <c r="Y555" s="182"/>
      <c r="Z555" s="182"/>
      <c r="AA555" s="182"/>
      <c r="AB555" s="182"/>
      <c r="AC555" s="182"/>
      <c r="AD555" s="182"/>
      <c r="AE555" s="182"/>
      <c r="AF555" s="182"/>
      <c r="AG555" s="182"/>
      <c r="AH555" s="182"/>
      <c r="AI555" s="182"/>
      <c r="AJ555" s="182"/>
      <c r="AK555" s="182"/>
      <c r="AL555" s="182"/>
      <c r="AM555" s="182"/>
      <c r="AN555" s="182"/>
      <c r="AO555" s="182"/>
      <c r="AP555" s="182"/>
      <c r="AQ555" s="182"/>
      <c r="AR555" s="182"/>
      <c r="AS555" s="182"/>
      <c r="AT555" s="182"/>
      <c r="AU555" s="182"/>
      <c r="AV555" s="182"/>
      <c r="AW555" s="182"/>
      <c r="AX555" s="182"/>
      <c r="AY555" s="182"/>
      <c r="AZ555" s="182"/>
    </row>
    <row r="556" spans="3:52">
      <c r="C556" s="664">
        <v>11</v>
      </c>
      <c r="D556" s="283"/>
      <c r="E556" s="283"/>
      <c r="F556" s="283" t="e">
        <f t="shared" ref="F556:Q565" si="217">-F$540*F$532*HLOOKUP((F$531+$C556),$E$461:$AZ$462,2,FALSE)</f>
        <v>#DIV/0!</v>
      </c>
      <c r="G556" s="283" t="e">
        <f t="shared" si="217"/>
        <v>#DIV/0!</v>
      </c>
      <c r="H556" s="283" t="e">
        <f t="shared" si="217"/>
        <v>#DIV/0!</v>
      </c>
      <c r="I556" s="283" t="e">
        <f t="shared" si="217"/>
        <v>#DIV/0!</v>
      </c>
      <c r="J556" s="283" t="e">
        <f t="shared" si="217"/>
        <v>#DIV/0!</v>
      </c>
      <c r="K556" s="283" t="e">
        <f t="shared" si="217"/>
        <v>#DIV/0!</v>
      </c>
      <c r="L556" s="283" t="e">
        <f t="shared" si="217"/>
        <v>#DIV/0!</v>
      </c>
      <c r="M556" s="283" t="e">
        <f t="shared" si="217"/>
        <v>#DIV/0!</v>
      </c>
      <c r="N556" s="283" t="e">
        <f t="shared" si="217"/>
        <v>#DIV/0!</v>
      </c>
      <c r="O556" s="283" t="e">
        <f t="shared" si="217"/>
        <v>#DIV/0!</v>
      </c>
      <c r="P556" s="283" t="e">
        <f t="shared" si="217"/>
        <v>#DIV/0!</v>
      </c>
      <c r="Q556" s="667" t="e">
        <f t="shared" si="217"/>
        <v>#DIV/0!</v>
      </c>
      <c r="R556" s="182"/>
      <c r="S556" s="182"/>
      <c r="T556" s="182"/>
      <c r="U556" s="182"/>
      <c r="V556" s="182"/>
      <c r="W556" s="182"/>
      <c r="X556" s="182"/>
      <c r="Y556" s="182"/>
      <c r="Z556" s="182"/>
      <c r="AA556" s="182"/>
      <c r="AB556" s="182"/>
      <c r="AC556" s="182"/>
      <c r="AD556" s="182"/>
      <c r="AE556" s="182"/>
      <c r="AF556" s="182"/>
      <c r="AG556" s="182"/>
      <c r="AH556" s="182"/>
      <c r="AI556" s="182"/>
      <c r="AJ556" s="182"/>
      <c r="AK556" s="182"/>
      <c r="AL556" s="182"/>
      <c r="AM556" s="182"/>
      <c r="AN556" s="182"/>
      <c r="AO556" s="182"/>
      <c r="AP556" s="182"/>
      <c r="AQ556" s="182"/>
      <c r="AR556" s="182"/>
      <c r="AS556" s="182"/>
      <c r="AT556" s="182"/>
      <c r="AU556" s="182"/>
      <c r="AV556" s="182"/>
      <c r="AW556" s="182"/>
      <c r="AX556" s="182"/>
      <c r="AY556" s="182"/>
      <c r="AZ556" s="182"/>
    </row>
    <row r="557" spans="3:52">
      <c r="C557" s="664">
        <v>12</v>
      </c>
      <c r="D557" s="283"/>
      <c r="E557" s="283"/>
      <c r="F557" s="283" t="e">
        <f t="shared" si="217"/>
        <v>#DIV/0!</v>
      </c>
      <c r="G557" s="283" t="e">
        <f t="shared" si="217"/>
        <v>#DIV/0!</v>
      </c>
      <c r="H557" s="283" t="e">
        <f t="shared" si="217"/>
        <v>#DIV/0!</v>
      </c>
      <c r="I557" s="283" t="e">
        <f t="shared" si="217"/>
        <v>#DIV/0!</v>
      </c>
      <c r="J557" s="283" t="e">
        <f t="shared" si="217"/>
        <v>#DIV/0!</v>
      </c>
      <c r="K557" s="283" t="e">
        <f t="shared" si="217"/>
        <v>#DIV/0!</v>
      </c>
      <c r="L557" s="283" t="e">
        <f t="shared" si="217"/>
        <v>#DIV/0!</v>
      </c>
      <c r="M557" s="283" t="e">
        <f t="shared" si="217"/>
        <v>#DIV/0!</v>
      </c>
      <c r="N557" s="283" t="e">
        <f t="shared" si="217"/>
        <v>#DIV/0!</v>
      </c>
      <c r="O557" s="283" t="e">
        <f t="shared" si="217"/>
        <v>#DIV/0!</v>
      </c>
      <c r="P557" s="283" t="e">
        <f t="shared" si="217"/>
        <v>#DIV/0!</v>
      </c>
      <c r="Q557" s="667" t="e">
        <f t="shared" si="217"/>
        <v>#DIV/0!</v>
      </c>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c r="AR557" s="182"/>
      <c r="AS557" s="182"/>
      <c r="AT557" s="182"/>
      <c r="AU557" s="182"/>
      <c r="AV557" s="182"/>
      <c r="AW557" s="182"/>
      <c r="AX557" s="182"/>
      <c r="AY557" s="182"/>
      <c r="AZ557" s="182"/>
    </row>
    <row r="558" spans="3:52">
      <c r="C558" s="664">
        <v>13</v>
      </c>
      <c r="D558" s="283"/>
      <c r="E558" s="283"/>
      <c r="F558" s="283" t="e">
        <f t="shared" si="217"/>
        <v>#DIV/0!</v>
      </c>
      <c r="G558" s="283" t="e">
        <f t="shared" si="217"/>
        <v>#DIV/0!</v>
      </c>
      <c r="H558" s="283" t="e">
        <f t="shared" si="217"/>
        <v>#DIV/0!</v>
      </c>
      <c r="I558" s="283" t="e">
        <f t="shared" si="217"/>
        <v>#DIV/0!</v>
      </c>
      <c r="J558" s="283" t="e">
        <f t="shared" si="217"/>
        <v>#DIV/0!</v>
      </c>
      <c r="K558" s="283" t="e">
        <f t="shared" si="217"/>
        <v>#DIV/0!</v>
      </c>
      <c r="L558" s="283" t="e">
        <f t="shared" si="217"/>
        <v>#DIV/0!</v>
      </c>
      <c r="M558" s="283" t="e">
        <f t="shared" si="217"/>
        <v>#DIV/0!</v>
      </c>
      <c r="N558" s="283" t="e">
        <f t="shared" si="217"/>
        <v>#DIV/0!</v>
      </c>
      <c r="O558" s="283" t="e">
        <f t="shared" si="217"/>
        <v>#DIV/0!</v>
      </c>
      <c r="P558" s="283" t="e">
        <f t="shared" si="217"/>
        <v>#DIV/0!</v>
      </c>
      <c r="Q558" s="667" t="e">
        <f t="shared" si="217"/>
        <v>#DIV/0!</v>
      </c>
      <c r="R558" s="182"/>
      <c r="S558" s="182"/>
      <c r="T558" s="182"/>
      <c r="U558" s="182"/>
      <c r="V558" s="182"/>
      <c r="W558" s="182"/>
      <c r="X558" s="182"/>
      <c r="Y558" s="182"/>
      <c r="Z558" s="182"/>
      <c r="AA558" s="182"/>
      <c r="AB558" s="182"/>
      <c r="AC558" s="182"/>
      <c r="AD558" s="182"/>
      <c r="AE558" s="182"/>
      <c r="AF558" s="182"/>
      <c r="AG558" s="182"/>
      <c r="AH558" s="182"/>
      <c r="AI558" s="182"/>
      <c r="AJ558" s="182"/>
      <c r="AK558" s="182"/>
      <c r="AL558" s="182"/>
      <c r="AM558" s="182"/>
      <c r="AN558" s="182"/>
      <c r="AO558" s="182"/>
      <c r="AP558" s="182"/>
      <c r="AQ558" s="182"/>
      <c r="AR558" s="182"/>
      <c r="AS558" s="182"/>
      <c r="AT558" s="182"/>
      <c r="AU558" s="182"/>
      <c r="AV558" s="182"/>
      <c r="AW558" s="182"/>
      <c r="AX558" s="182"/>
      <c r="AY558" s="182"/>
      <c r="AZ558" s="182"/>
    </row>
    <row r="559" spans="3:52">
      <c r="C559" s="664">
        <v>14</v>
      </c>
      <c r="D559" s="283"/>
      <c r="E559" s="283"/>
      <c r="F559" s="283" t="e">
        <f t="shared" si="217"/>
        <v>#DIV/0!</v>
      </c>
      <c r="G559" s="283" t="e">
        <f t="shared" si="217"/>
        <v>#DIV/0!</v>
      </c>
      <c r="H559" s="283" t="e">
        <f t="shared" si="217"/>
        <v>#DIV/0!</v>
      </c>
      <c r="I559" s="283" t="e">
        <f t="shared" si="217"/>
        <v>#DIV/0!</v>
      </c>
      <c r="J559" s="283" t="e">
        <f t="shared" si="217"/>
        <v>#DIV/0!</v>
      </c>
      <c r="K559" s="283" t="e">
        <f t="shared" si="217"/>
        <v>#DIV/0!</v>
      </c>
      <c r="L559" s="283" t="e">
        <f t="shared" si="217"/>
        <v>#DIV/0!</v>
      </c>
      <c r="M559" s="283" t="e">
        <f t="shared" si="217"/>
        <v>#DIV/0!</v>
      </c>
      <c r="N559" s="283" t="e">
        <f t="shared" si="217"/>
        <v>#DIV/0!</v>
      </c>
      <c r="O559" s="283" t="e">
        <f t="shared" si="217"/>
        <v>#DIV/0!</v>
      </c>
      <c r="P559" s="283" t="e">
        <f t="shared" si="217"/>
        <v>#DIV/0!</v>
      </c>
      <c r="Q559" s="667" t="e">
        <f t="shared" si="217"/>
        <v>#DIV/0!</v>
      </c>
      <c r="R559" s="182"/>
      <c r="S559" s="182"/>
      <c r="T559" s="182"/>
      <c r="U559" s="182"/>
      <c r="V559" s="182"/>
      <c r="W559" s="182"/>
      <c r="X559" s="182"/>
      <c r="Y559" s="182"/>
      <c r="Z559" s="182"/>
      <c r="AA559" s="182"/>
      <c r="AB559" s="182"/>
      <c r="AC559" s="182"/>
      <c r="AD559" s="182"/>
      <c r="AE559" s="182"/>
      <c r="AF559" s="182"/>
      <c r="AG559" s="182"/>
      <c r="AH559" s="182"/>
      <c r="AI559" s="182"/>
      <c r="AJ559" s="182"/>
      <c r="AK559" s="182"/>
      <c r="AL559" s="182"/>
      <c r="AM559" s="182"/>
      <c r="AN559" s="182"/>
      <c r="AO559" s="182"/>
      <c r="AP559" s="182"/>
      <c r="AQ559" s="182"/>
      <c r="AR559" s="182"/>
      <c r="AS559" s="182"/>
      <c r="AT559" s="182"/>
      <c r="AU559" s="182"/>
      <c r="AV559" s="182"/>
      <c r="AW559" s="182"/>
      <c r="AX559" s="182"/>
      <c r="AY559" s="182"/>
      <c r="AZ559" s="182"/>
    </row>
    <row r="560" spans="3:52">
      <c r="C560" s="664">
        <v>15</v>
      </c>
      <c r="D560" s="283"/>
      <c r="E560" s="283"/>
      <c r="F560" s="283" t="e">
        <f t="shared" si="217"/>
        <v>#DIV/0!</v>
      </c>
      <c r="G560" s="283" t="e">
        <f t="shared" si="217"/>
        <v>#DIV/0!</v>
      </c>
      <c r="H560" s="283" t="e">
        <f t="shared" si="217"/>
        <v>#DIV/0!</v>
      </c>
      <c r="I560" s="283" t="e">
        <f t="shared" si="217"/>
        <v>#DIV/0!</v>
      </c>
      <c r="J560" s="283" t="e">
        <f t="shared" si="217"/>
        <v>#DIV/0!</v>
      </c>
      <c r="K560" s="283" t="e">
        <f t="shared" si="217"/>
        <v>#DIV/0!</v>
      </c>
      <c r="L560" s="283" t="e">
        <f t="shared" si="217"/>
        <v>#DIV/0!</v>
      </c>
      <c r="M560" s="283" t="e">
        <f t="shared" si="217"/>
        <v>#DIV/0!</v>
      </c>
      <c r="N560" s="283" t="e">
        <f t="shared" si="217"/>
        <v>#DIV/0!</v>
      </c>
      <c r="O560" s="283" t="e">
        <f t="shared" si="217"/>
        <v>#DIV/0!</v>
      </c>
      <c r="P560" s="283" t="e">
        <f t="shared" si="217"/>
        <v>#DIV/0!</v>
      </c>
      <c r="Q560" s="667" t="e">
        <f t="shared" si="217"/>
        <v>#DIV/0!</v>
      </c>
      <c r="R560" s="182"/>
      <c r="S560" s="182"/>
      <c r="T560" s="182"/>
      <c r="U560" s="182"/>
      <c r="V560" s="182"/>
      <c r="W560" s="182"/>
      <c r="X560" s="182"/>
      <c r="Y560" s="182"/>
      <c r="Z560" s="182"/>
      <c r="AA560" s="182"/>
      <c r="AB560" s="182"/>
      <c r="AC560" s="182"/>
      <c r="AD560" s="182"/>
      <c r="AE560" s="182"/>
      <c r="AF560" s="182"/>
      <c r="AG560" s="182"/>
      <c r="AH560" s="182"/>
      <c r="AI560" s="182"/>
      <c r="AJ560" s="182"/>
      <c r="AK560" s="182"/>
      <c r="AL560" s="182"/>
      <c r="AM560" s="182"/>
      <c r="AN560" s="182"/>
      <c r="AO560" s="182"/>
      <c r="AP560" s="182"/>
      <c r="AQ560" s="182"/>
      <c r="AR560" s="182"/>
      <c r="AS560" s="182"/>
      <c r="AT560" s="182"/>
      <c r="AU560" s="182"/>
      <c r="AV560" s="182"/>
      <c r="AW560" s="182"/>
      <c r="AX560" s="182"/>
      <c r="AY560" s="182"/>
      <c r="AZ560" s="182"/>
    </row>
    <row r="561" spans="3:52">
      <c r="C561" s="664">
        <v>16</v>
      </c>
      <c r="D561" s="283"/>
      <c r="E561" s="283"/>
      <c r="F561" s="283" t="e">
        <f t="shared" si="217"/>
        <v>#DIV/0!</v>
      </c>
      <c r="G561" s="283" t="e">
        <f t="shared" si="217"/>
        <v>#DIV/0!</v>
      </c>
      <c r="H561" s="283" t="e">
        <f t="shared" si="217"/>
        <v>#DIV/0!</v>
      </c>
      <c r="I561" s="283" t="e">
        <f t="shared" si="217"/>
        <v>#DIV/0!</v>
      </c>
      <c r="J561" s="283" t="e">
        <f t="shared" si="217"/>
        <v>#DIV/0!</v>
      </c>
      <c r="K561" s="283" t="e">
        <f t="shared" si="217"/>
        <v>#DIV/0!</v>
      </c>
      <c r="L561" s="283" t="e">
        <f t="shared" si="217"/>
        <v>#DIV/0!</v>
      </c>
      <c r="M561" s="283" t="e">
        <f t="shared" si="217"/>
        <v>#DIV/0!</v>
      </c>
      <c r="N561" s="283" t="e">
        <f t="shared" si="217"/>
        <v>#DIV/0!</v>
      </c>
      <c r="O561" s="283" t="e">
        <f t="shared" si="217"/>
        <v>#DIV/0!</v>
      </c>
      <c r="P561" s="283" t="e">
        <f t="shared" si="217"/>
        <v>#DIV/0!</v>
      </c>
      <c r="Q561" s="667" t="e">
        <f t="shared" si="217"/>
        <v>#DIV/0!</v>
      </c>
      <c r="R561" s="182"/>
      <c r="S561" s="182"/>
      <c r="T561" s="182"/>
      <c r="U561" s="182"/>
      <c r="V561" s="182"/>
      <c r="W561" s="182"/>
      <c r="X561" s="182"/>
      <c r="Y561" s="182"/>
      <c r="Z561" s="182"/>
      <c r="AA561" s="182"/>
      <c r="AB561" s="182"/>
      <c r="AC561" s="182"/>
      <c r="AD561" s="182"/>
      <c r="AE561" s="182"/>
      <c r="AF561" s="182"/>
      <c r="AG561" s="182"/>
      <c r="AH561" s="182"/>
      <c r="AI561" s="182"/>
      <c r="AJ561" s="182"/>
      <c r="AK561" s="182"/>
      <c r="AL561" s="182"/>
      <c r="AM561" s="182"/>
      <c r="AN561" s="182"/>
      <c r="AO561" s="182"/>
      <c r="AP561" s="182"/>
      <c r="AQ561" s="182"/>
      <c r="AR561" s="182"/>
      <c r="AS561" s="182"/>
      <c r="AT561" s="182"/>
      <c r="AU561" s="182"/>
      <c r="AV561" s="182"/>
      <c r="AW561" s="182"/>
      <c r="AX561" s="182"/>
      <c r="AY561" s="182"/>
      <c r="AZ561" s="182"/>
    </row>
    <row r="562" spans="3:52">
      <c r="C562" s="664">
        <v>17</v>
      </c>
      <c r="D562" s="283"/>
      <c r="E562" s="283"/>
      <c r="F562" s="283" t="e">
        <f t="shared" si="217"/>
        <v>#DIV/0!</v>
      </c>
      <c r="G562" s="283" t="e">
        <f t="shared" si="217"/>
        <v>#DIV/0!</v>
      </c>
      <c r="H562" s="283" t="e">
        <f t="shared" si="217"/>
        <v>#DIV/0!</v>
      </c>
      <c r="I562" s="283" t="e">
        <f t="shared" si="217"/>
        <v>#DIV/0!</v>
      </c>
      <c r="J562" s="283" t="e">
        <f t="shared" si="217"/>
        <v>#DIV/0!</v>
      </c>
      <c r="K562" s="283" t="e">
        <f t="shared" si="217"/>
        <v>#DIV/0!</v>
      </c>
      <c r="L562" s="283" t="e">
        <f t="shared" si="217"/>
        <v>#DIV/0!</v>
      </c>
      <c r="M562" s="283" t="e">
        <f t="shared" si="217"/>
        <v>#DIV/0!</v>
      </c>
      <c r="N562" s="283" t="e">
        <f t="shared" si="217"/>
        <v>#DIV/0!</v>
      </c>
      <c r="O562" s="283" t="e">
        <f t="shared" si="217"/>
        <v>#DIV/0!</v>
      </c>
      <c r="P562" s="283" t="e">
        <f t="shared" si="217"/>
        <v>#DIV/0!</v>
      </c>
      <c r="Q562" s="667" t="e">
        <f t="shared" si="217"/>
        <v>#DIV/0!</v>
      </c>
      <c r="R562" s="182"/>
      <c r="S562" s="182"/>
      <c r="T562" s="182"/>
      <c r="U562" s="182"/>
      <c r="V562" s="182"/>
      <c r="W562" s="182"/>
      <c r="X562" s="182"/>
      <c r="Y562" s="182"/>
      <c r="Z562" s="182"/>
      <c r="AA562" s="182"/>
      <c r="AB562" s="182"/>
      <c r="AC562" s="182"/>
      <c r="AD562" s="182"/>
      <c r="AE562" s="182"/>
      <c r="AF562" s="182"/>
      <c r="AG562" s="182"/>
      <c r="AH562" s="182"/>
      <c r="AI562" s="182"/>
      <c r="AJ562" s="182"/>
      <c r="AK562" s="182"/>
      <c r="AL562" s="182"/>
      <c r="AM562" s="182"/>
      <c r="AN562" s="182"/>
      <c r="AO562" s="182"/>
      <c r="AP562" s="182"/>
      <c r="AQ562" s="182"/>
      <c r="AR562" s="182"/>
      <c r="AS562" s="182"/>
      <c r="AT562" s="182"/>
      <c r="AU562" s="182"/>
      <c r="AV562" s="182"/>
      <c r="AW562" s="182"/>
      <c r="AX562" s="182"/>
      <c r="AY562" s="182"/>
      <c r="AZ562" s="182"/>
    </row>
    <row r="563" spans="3:52">
      <c r="C563" s="664">
        <v>18</v>
      </c>
      <c r="D563" s="283"/>
      <c r="E563" s="283"/>
      <c r="F563" s="283" t="e">
        <f t="shared" si="217"/>
        <v>#DIV/0!</v>
      </c>
      <c r="G563" s="283" t="e">
        <f t="shared" si="217"/>
        <v>#DIV/0!</v>
      </c>
      <c r="H563" s="283" t="e">
        <f t="shared" si="217"/>
        <v>#DIV/0!</v>
      </c>
      <c r="I563" s="283" t="e">
        <f t="shared" si="217"/>
        <v>#DIV/0!</v>
      </c>
      <c r="J563" s="283" t="e">
        <f t="shared" si="217"/>
        <v>#DIV/0!</v>
      </c>
      <c r="K563" s="283" t="e">
        <f t="shared" si="217"/>
        <v>#DIV/0!</v>
      </c>
      <c r="L563" s="283" t="e">
        <f t="shared" si="217"/>
        <v>#DIV/0!</v>
      </c>
      <c r="M563" s="283" t="e">
        <f t="shared" si="217"/>
        <v>#DIV/0!</v>
      </c>
      <c r="N563" s="283" t="e">
        <f t="shared" si="217"/>
        <v>#DIV/0!</v>
      </c>
      <c r="O563" s="283" t="e">
        <f t="shared" si="217"/>
        <v>#DIV/0!</v>
      </c>
      <c r="P563" s="283" t="e">
        <f t="shared" si="217"/>
        <v>#DIV/0!</v>
      </c>
      <c r="Q563" s="667" t="e">
        <f t="shared" si="217"/>
        <v>#DIV/0!</v>
      </c>
      <c r="R563" s="182"/>
      <c r="S563" s="182"/>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82"/>
      <c r="AR563" s="182"/>
      <c r="AS563" s="182"/>
      <c r="AT563" s="182"/>
      <c r="AU563" s="182"/>
      <c r="AV563" s="182"/>
      <c r="AW563" s="182"/>
      <c r="AX563" s="182"/>
      <c r="AY563" s="182"/>
      <c r="AZ563" s="182"/>
    </row>
    <row r="564" spans="3:52">
      <c r="C564" s="664">
        <v>19</v>
      </c>
      <c r="D564" s="283"/>
      <c r="E564" s="283"/>
      <c r="F564" s="283" t="e">
        <f t="shared" si="217"/>
        <v>#DIV/0!</v>
      </c>
      <c r="G564" s="283" t="e">
        <f t="shared" si="217"/>
        <v>#DIV/0!</v>
      </c>
      <c r="H564" s="283" t="e">
        <f t="shared" si="217"/>
        <v>#DIV/0!</v>
      </c>
      <c r="I564" s="283" t="e">
        <f t="shared" si="217"/>
        <v>#DIV/0!</v>
      </c>
      <c r="J564" s="283" t="e">
        <f t="shared" si="217"/>
        <v>#DIV/0!</v>
      </c>
      <c r="K564" s="283" t="e">
        <f t="shared" si="217"/>
        <v>#DIV/0!</v>
      </c>
      <c r="L564" s="283" t="e">
        <f t="shared" si="217"/>
        <v>#DIV/0!</v>
      </c>
      <c r="M564" s="283" t="e">
        <f t="shared" si="217"/>
        <v>#DIV/0!</v>
      </c>
      <c r="N564" s="283" t="e">
        <f t="shared" si="217"/>
        <v>#DIV/0!</v>
      </c>
      <c r="O564" s="283" t="e">
        <f t="shared" si="217"/>
        <v>#DIV/0!</v>
      </c>
      <c r="P564" s="283" t="e">
        <f t="shared" si="217"/>
        <v>#DIV/0!</v>
      </c>
      <c r="Q564" s="667" t="e">
        <f t="shared" si="217"/>
        <v>#DIV/0!</v>
      </c>
      <c r="R564" s="182"/>
      <c r="S564" s="182"/>
      <c r="T564" s="182"/>
      <c r="U564" s="182"/>
      <c r="V564" s="182"/>
      <c r="W564" s="182"/>
      <c r="X564" s="182"/>
      <c r="Y564" s="182"/>
      <c r="Z564" s="182"/>
      <c r="AA564" s="182"/>
      <c r="AB564" s="182"/>
      <c r="AC564" s="182"/>
      <c r="AD564" s="182"/>
      <c r="AE564" s="182"/>
      <c r="AF564" s="182"/>
      <c r="AG564" s="182"/>
      <c r="AH564" s="182"/>
      <c r="AI564" s="182"/>
      <c r="AJ564" s="182"/>
      <c r="AK564" s="182"/>
      <c r="AL564" s="182"/>
      <c r="AM564" s="182"/>
      <c r="AN564" s="182"/>
      <c r="AO564" s="182"/>
      <c r="AP564" s="182"/>
      <c r="AQ564" s="182"/>
      <c r="AR564" s="182"/>
      <c r="AS564" s="182"/>
      <c r="AT564" s="182"/>
      <c r="AU564" s="182"/>
      <c r="AV564" s="182"/>
      <c r="AW564" s="182"/>
      <c r="AX564" s="182"/>
      <c r="AY564" s="182"/>
      <c r="AZ564" s="182"/>
    </row>
    <row r="565" spans="3:52">
      <c r="C565" s="664">
        <v>20</v>
      </c>
      <c r="D565" s="283"/>
      <c r="E565" s="283"/>
      <c r="F565" s="283" t="e">
        <f t="shared" si="217"/>
        <v>#DIV/0!</v>
      </c>
      <c r="G565" s="283" t="e">
        <f t="shared" si="217"/>
        <v>#DIV/0!</v>
      </c>
      <c r="H565" s="283" t="e">
        <f t="shared" si="217"/>
        <v>#DIV/0!</v>
      </c>
      <c r="I565" s="283" t="e">
        <f t="shared" si="217"/>
        <v>#DIV/0!</v>
      </c>
      <c r="J565" s="283" t="e">
        <f t="shared" si="217"/>
        <v>#DIV/0!</v>
      </c>
      <c r="K565" s="283" t="e">
        <f t="shared" si="217"/>
        <v>#DIV/0!</v>
      </c>
      <c r="L565" s="283" t="e">
        <f t="shared" si="217"/>
        <v>#DIV/0!</v>
      </c>
      <c r="M565" s="283" t="e">
        <f t="shared" si="217"/>
        <v>#DIV/0!</v>
      </c>
      <c r="N565" s="283" t="e">
        <f t="shared" si="217"/>
        <v>#DIV/0!</v>
      </c>
      <c r="O565" s="283" t="e">
        <f t="shared" si="217"/>
        <v>#DIV/0!</v>
      </c>
      <c r="P565" s="283" t="e">
        <f t="shared" si="217"/>
        <v>#DIV/0!</v>
      </c>
      <c r="Q565" s="667" t="e">
        <f t="shared" si="217"/>
        <v>#DIV/0!</v>
      </c>
      <c r="R565" s="182"/>
      <c r="S565" s="182"/>
      <c r="T565" s="182"/>
      <c r="U565" s="182"/>
      <c r="V565" s="182"/>
      <c r="W565" s="182"/>
      <c r="X565" s="182"/>
      <c r="Y565" s="182"/>
      <c r="Z565" s="182"/>
      <c r="AA565" s="182"/>
      <c r="AB565" s="182"/>
      <c r="AC565" s="182"/>
      <c r="AD565" s="182"/>
      <c r="AE565" s="182"/>
      <c r="AF565" s="182"/>
      <c r="AG565" s="182"/>
      <c r="AH565" s="182"/>
      <c r="AI565" s="182"/>
      <c r="AJ565" s="182"/>
      <c r="AK565" s="182"/>
      <c r="AL565" s="182"/>
      <c r="AM565" s="182"/>
      <c r="AN565" s="182"/>
      <c r="AO565" s="182"/>
      <c r="AP565" s="182"/>
      <c r="AQ565" s="182"/>
      <c r="AR565" s="182"/>
      <c r="AS565" s="182"/>
      <c r="AT565" s="182"/>
      <c r="AU565" s="182"/>
      <c r="AV565" s="182"/>
      <c r="AW565" s="182"/>
      <c r="AX565" s="182"/>
      <c r="AY565" s="182"/>
      <c r="AZ565" s="182"/>
    </row>
    <row r="566" spans="3:52">
      <c r="C566" s="664">
        <v>21</v>
      </c>
      <c r="D566" s="283"/>
      <c r="E566" s="283"/>
      <c r="F566" s="283" t="e">
        <f t="shared" ref="F566:Q575" si="218">-F$540*F$532*HLOOKUP((F$531+$C566),$E$461:$AZ$462,2,FALSE)</f>
        <v>#DIV/0!</v>
      </c>
      <c r="G566" s="283" t="e">
        <f t="shared" si="218"/>
        <v>#DIV/0!</v>
      </c>
      <c r="H566" s="283" t="e">
        <f t="shared" si="218"/>
        <v>#DIV/0!</v>
      </c>
      <c r="I566" s="283" t="e">
        <f t="shared" si="218"/>
        <v>#DIV/0!</v>
      </c>
      <c r="J566" s="283" t="e">
        <f t="shared" si="218"/>
        <v>#DIV/0!</v>
      </c>
      <c r="K566" s="283" t="e">
        <f t="shared" si="218"/>
        <v>#DIV/0!</v>
      </c>
      <c r="L566" s="283" t="e">
        <f t="shared" si="218"/>
        <v>#DIV/0!</v>
      </c>
      <c r="M566" s="283" t="e">
        <f t="shared" si="218"/>
        <v>#DIV/0!</v>
      </c>
      <c r="N566" s="283" t="e">
        <f t="shared" si="218"/>
        <v>#DIV/0!</v>
      </c>
      <c r="O566" s="283" t="e">
        <f t="shared" si="218"/>
        <v>#DIV/0!</v>
      </c>
      <c r="P566" s="283" t="e">
        <f t="shared" si="218"/>
        <v>#DIV/0!</v>
      </c>
      <c r="Q566" s="667" t="e">
        <f t="shared" si="218"/>
        <v>#DIV/0!</v>
      </c>
      <c r="R566" s="182"/>
      <c r="S566" s="182"/>
      <c r="T566" s="182"/>
      <c r="U566" s="182"/>
      <c r="V566" s="182"/>
      <c r="W566" s="182"/>
      <c r="X566" s="182"/>
      <c r="Y566" s="182"/>
      <c r="Z566" s="182"/>
      <c r="AA566" s="182"/>
      <c r="AB566" s="182"/>
      <c r="AC566" s="182"/>
      <c r="AD566" s="182"/>
      <c r="AE566" s="182"/>
      <c r="AF566" s="182"/>
      <c r="AG566" s="182"/>
      <c r="AH566" s="182"/>
      <c r="AI566" s="182"/>
      <c r="AJ566" s="182"/>
      <c r="AK566" s="182"/>
      <c r="AL566" s="182"/>
      <c r="AM566" s="182"/>
      <c r="AN566" s="182"/>
      <c r="AO566" s="182"/>
      <c r="AP566" s="182"/>
      <c r="AQ566" s="182"/>
      <c r="AR566" s="182"/>
      <c r="AS566" s="182"/>
      <c r="AT566" s="182"/>
      <c r="AU566" s="182"/>
      <c r="AV566" s="182"/>
      <c r="AW566" s="182"/>
      <c r="AX566" s="182"/>
      <c r="AY566" s="182"/>
      <c r="AZ566" s="182"/>
    </row>
    <row r="567" spans="3:52">
      <c r="C567" s="664">
        <v>22</v>
      </c>
      <c r="D567" s="283"/>
      <c r="E567" s="283"/>
      <c r="F567" s="283" t="e">
        <f t="shared" si="218"/>
        <v>#DIV/0!</v>
      </c>
      <c r="G567" s="283" t="e">
        <f t="shared" si="218"/>
        <v>#DIV/0!</v>
      </c>
      <c r="H567" s="283" t="e">
        <f t="shared" si="218"/>
        <v>#DIV/0!</v>
      </c>
      <c r="I567" s="283" t="e">
        <f t="shared" si="218"/>
        <v>#DIV/0!</v>
      </c>
      <c r="J567" s="283" t="e">
        <f t="shared" si="218"/>
        <v>#DIV/0!</v>
      </c>
      <c r="K567" s="283" t="e">
        <f t="shared" si="218"/>
        <v>#DIV/0!</v>
      </c>
      <c r="L567" s="283" t="e">
        <f t="shared" si="218"/>
        <v>#DIV/0!</v>
      </c>
      <c r="M567" s="283" t="e">
        <f t="shared" si="218"/>
        <v>#DIV/0!</v>
      </c>
      <c r="N567" s="283" t="e">
        <f t="shared" si="218"/>
        <v>#DIV/0!</v>
      </c>
      <c r="O567" s="283" t="e">
        <f t="shared" si="218"/>
        <v>#DIV/0!</v>
      </c>
      <c r="P567" s="283" t="e">
        <f t="shared" si="218"/>
        <v>#DIV/0!</v>
      </c>
      <c r="Q567" s="667" t="e">
        <f t="shared" si="218"/>
        <v>#DIV/0!</v>
      </c>
      <c r="R567" s="182"/>
      <c r="S567" s="182"/>
      <c r="T567" s="182"/>
      <c r="U567" s="182"/>
      <c r="V567" s="182"/>
      <c r="W567" s="182"/>
      <c r="X567" s="182"/>
      <c r="Y567" s="182"/>
      <c r="Z567" s="182"/>
      <c r="AA567" s="182"/>
      <c r="AB567" s="182"/>
      <c r="AC567" s="182"/>
      <c r="AD567" s="182"/>
      <c r="AE567" s="182"/>
      <c r="AF567" s="182"/>
      <c r="AG567" s="182"/>
      <c r="AH567" s="182"/>
      <c r="AI567" s="182"/>
      <c r="AJ567" s="182"/>
      <c r="AK567" s="182"/>
      <c r="AL567" s="182"/>
      <c r="AM567" s="182"/>
      <c r="AN567" s="182"/>
      <c r="AO567" s="182"/>
      <c r="AP567" s="182"/>
      <c r="AQ567" s="182"/>
      <c r="AR567" s="182"/>
      <c r="AS567" s="182"/>
      <c r="AT567" s="182"/>
      <c r="AU567" s="182"/>
      <c r="AV567" s="182"/>
      <c r="AW567" s="182"/>
      <c r="AX567" s="182"/>
      <c r="AY567" s="182"/>
      <c r="AZ567" s="182"/>
    </row>
    <row r="568" spans="3:52">
      <c r="C568" s="664">
        <v>23</v>
      </c>
      <c r="D568" s="283"/>
      <c r="E568" s="283"/>
      <c r="F568" s="283" t="e">
        <f t="shared" si="218"/>
        <v>#DIV/0!</v>
      </c>
      <c r="G568" s="283" t="e">
        <f t="shared" si="218"/>
        <v>#DIV/0!</v>
      </c>
      <c r="H568" s="283" t="e">
        <f t="shared" si="218"/>
        <v>#DIV/0!</v>
      </c>
      <c r="I568" s="283" t="e">
        <f t="shared" si="218"/>
        <v>#DIV/0!</v>
      </c>
      <c r="J568" s="283" t="e">
        <f t="shared" si="218"/>
        <v>#DIV/0!</v>
      </c>
      <c r="K568" s="283" t="e">
        <f t="shared" si="218"/>
        <v>#DIV/0!</v>
      </c>
      <c r="L568" s="283" t="e">
        <f t="shared" si="218"/>
        <v>#DIV/0!</v>
      </c>
      <c r="M568" s="283" t="e">
        <f t="shared" si="218"/>
        <v>#DIV/0!</v>
      </c>
      <c r="N568" s="283" t="e">
        <f t="shared" si="218"/>
        <v>#DIV/0!</v>
      </c>
      <c r="O568" s="283" t="e">
        <f t="shared" si="218"/>
        <v>#DIV/0!</v>
      </c>
      <c r="P568" s="283" t="e">
        <f t="shared" si="218"/>
        <v>#DIV/0!</v>
      </c>
      <c r="Q568" s="667" t="e">
        <f t="shared" si="218"/>
        <v>#DIV/0!</v>
      </c>
      <c r="R568" s="182"/>
      <c r="S568" s="182"/>
      <c r="T568" s="182"/>
      <c r="U568" s="182"/>
      <c r="V568" s="182"/>
      <c r="W568" s="182"/>
      <c r="X568" s="182"/>
      <c r="Y568" s="182"/>
      <c r="Z568" s="182"/>
      <c r="AA568" s="182"/>
      <c r="AB568" s="182"/>
      <c r="AC568" s="182"/>
      <c r="AD568" s="182"/>
      <c r="AE568" s="182"/>
      <c r="AF568" s="182"/>
      <c r="AG568" s="182"/>
      <c r="AH568" s="182"/>
      <c r="AI568" s="182"/>
      <c r="AJ568" s="182"/>
      <c r="AK568" s="182"/>
      <c r="AL568" s="182"/>
      <c r="AM568" s="182"/>
      <c r="AN568" s="182"/>
      <c r="AO568" s="182"/>
      <c r="AP568" s="182"/>
      <c r="AQ568" s="182"/>
      <c r="AR568" s="182"/>
      <c r="AS568" s="182"/>
      <c r="AT568" s="182"/>
      <c r="AU568" s="182"/>
      <c r="AV568" s="182"/>
      <c r="AW568" s="182"/>
      <c r="AX568" s="182"/>
      <c r="AY568" s="182"/>
      <c r="AZ568" s="182"/>
    </row>
    <row r="569" spans="3:52">
      <c r="C569" s="664">
        <v>24</v>
      </c>
      <c r="D569" s="283"/>
      <c r="E569" s="283"/>
      <c r="F569" s="283" t="e">
        <f t="shared" si="218"/>
        <v>#DIV/0!</v>
      </c>
      <c r="G569" s="283" t="e">
        <f t="shared" si="218"/>
        <v>#DIV/0!</v>
      </c>
      <c r="H569" s="283" t="e">
        <f t="shared" si="218"/>
        <v>#DIV/0!</v>
      </c>
      <c r="I569" s="283" t="e">
        <f t="shared" si="218"/>
        <v>#DIV/0!</v>
      </c>
      <c r="J569" s="283" t="e">
        <f t="shared" si="218"/>
        <v>#DIV/0!</v>
      </c>
      <c r="K569" s="283" t="e">
        <f t="shared" si="218"/>
        <v>#DIV/0!</v>
      </c>
      <c r="L569" s="283" t="e">
        <f t="shared" si="218"/>
        <v>#DIV/0!</v>
      </c>
      <c r="M569" s="283" t="e">
        <f t="shared" si="218"/>
        <v>#DIV/0!</v>
      </c>
      <c r="N569" s="283" t="e">
        <f t="shared" si="218"/>
        <v>#DIV/0!</v>
      </c>
      <c r="O569" s="283" t="e">
        <f t="shared" si="218"/>
        <v>#DIV/0!</v>
      </c>
      <c r="P569" s="283" t="e">
        <f t="shared" si="218"/>
        <v>#DIV/0!</v>
      </c>
      <c r="Q569" s="667" t="e">
        <f t="shared" si="218"/>
        <v>#DIV/0!</v>
      </c>
      <c r="R569" s="182"/>
      <c r="S569" s="182"/>
      <c r="T569" s="182"/>
      <c r="U569" s="182"/>
      <c r="V569" s="182"/>
      <c r="W569" s="182"/>
      <c r="X569" s="182"/>
      <c r="Y569" s="182"/>
      <c r="Z569" s="182"/>
      <c r="AA569" s="182"/>
      <c r="AB569" s="182"/>
      <c r="AC569" s="182"/>
      <c r="AD569" s="182"/>
      <c r="AE569" s="182"/>
      <c r="AF569" s="182"/>
      <c r="AG569" s="182"/>
      <c r="AH569" s="182"/>
      <c r="AI569" s="182"/>
      <c r="AJ569" s="182"/>
      <c r="AK569" s="182"/>
      <c r="AL569" s="182"/>
      <c r="AM569" s="182"/>
      <c r="AN569" s="182"/>
      <c r="AO569" s="182"/>
      <c r="AP569" s="182"/>
      <c r="AQ569" s="182"/>
      <c r="AR569" s="182"/>
      <c r="AS569" s="182"/>
      <c r="AT569" s="182"/>
      <c r="AU569" s="182"/>
      <c r="AV569" s="182"/>
      <c r="AW569" s="182"/>
      <c r="AX569" s="182"/>
      <c r="AY569" s="182"/>
      <c r="AZ569" s="182"/>
    </row>
    <row r="570" spans="3:52">
      <c r="C570" s="664">
        <v>25</v>
      </c>
      <c r="D570" s="283"/>
      <c r="E570" s="283"/>
      <c r="F570" s="283" t="e">
        <f t="shared" si="218"/>
        <v>#DIV/0!</v>
      </c>
      <c r="G570" s="283" t="e">
        <f t="shared" si="218"/>
        <v>#DIV/0!</v>
      </c>
      <c r="H570" s="283" t="e">
        <f t="shared" si="218"/>
        <v>#DIV/0!</v>
      </c>
      <c r="I570" s="283" t="e">
        <f t="shared" si="218"/>
        <v>#DIV/0!</v>
      </c>
      <c r="J570" s="283" t="e">
        <f t="shared" si="218"/>
        <v>#DIV/0!</v>
      </c>
      <c r="K570" s="283" t="e">
        <f t="shared" si="218"/>
        <v>#DIV/0!</v>
      </c>
      <c r="L570" s="283" t="e">
        <f t="shared" si="218"/>
        <v>#DIV/0!</v>
      </c>
      <c r="M570" s="283" t="e">
        <f t="shared" si="218"/>
        <v>#DIV/0!</v>
      </c>
      <c r="N570" s="283" t="e">
        <f t="shared" si="218"/>
        <v>#DIV/0!</v>
      </c>
      <c r="O570" s="283" t="e">
        <f t="shared" si="218"/>
        <v>#DIV/0!</v>
      </c>
      <c r="P570" s="283" t="e">
        <f t="shared" si="218"/>
        <v>#DIV/0!</v>
      </c>
      <c r="Q570" s="667" t="e">
        <f t="shared" si="218"/>
        <v>#DIV/0!</v>
      </c>
      <c r="R570" s="182"/>
      <c r="S570" s="182"/>
      <c r="T570" s="182"/>
      <c r="U570" s="182"/>
      <c r="V570" s="182"/>
      <c r="W570" s="182"/>
      <c r="X570" s="182"/>
      <c r="Y570" s="182"/>
      <c r="Z570" s="182"/>
      <c r="AA570" s="182"/>
      <c r="AB570" s="182"/>
      <c r="AC570" s="182"/>
      <c r="AD570" s="182"/>
      <c r="AE570" s="182"/>
      <c r="AF570" s="182"/>
      <c r="AG570" s="182"/>
      <c r="AH570" s="182"/>
      <c r="AI570" s="182"/>
      <c r="AJ570" s="182"/>
      <c r="AK570" s="182"/>
      <c r="AL570" s="182"/>
      <c r="AM570" s="182"/>
      <c r="AN570" s="182"/>
      <c r="AO570" s="182"/>
      <c r="AP570" s="182"/>
      <c r="AQ570" s="182"/>
      <c r="AR570" s="182"/>
      <c r="AS570" s="182"/>
      <c r="AT570" s="182"/>
      <c r="AU570" s="182"/>
      <c r="AV570" s="182"/>
      <c r="AW570" s="182"/>
      <c r="AX570" s="182"/>
      <c r="AY570" s="182"/>
      <c r="AZ570" s="182"/>
    </row>
    <row r="571" spans="3:52">
      <c r="C571" s="664">
        <v>26</v>
      </c>
      <c r="D571" s="283"/>
      <c r="E571" s="283"/>
      <c r="F571" s="283" t="e">
        <f t="shared" si="218"/>
        <v>#DIV/0!</v>
      </c>
      <c r="G571" s="283" t="e">
        <f t="shared" si="218"/>
        <v>#DIV/0!</v>
      </c>
      <c r="H571" s="283" t="e">
        <f t="shared" si="218"/>
        <v>#DIV/0!</v>
      </c>
      <c r="I571" s="283" t="e">
        <f t="shared" si="218"/>
        <v>#DIV/0!</v>
      </c>
      <c r="J571" s="283" t="e">
        <f t="shared" si="218"/>
        <v>#DIV/0!</v>
      </c>
      <c r="K571" s="283" t="e">
        <f t="shared" si="218"/>
        <v>#DIV/0!</v>
      </c>
      <c r="L571" s="283" t="e">
        <f t="shared" si="218"/>
        <v>#DIV/0!</v>
      </c>
      <c r="M571" s="283" t="e">
        <f t="shared" si="218"/>
        <v>#DIV/0!</v>
      </c>
      <c r="N571" s="283" t="e">
        <f t="shared" si="218"/>
        <v>#DIV/0!</v>
      </c>
      <c r="O571" s="283" t="e">
        <f t="shared" si="218"/>
        <v>#DIV/0!</v>
      </c>
      <c r="P571" s="283" t="e">
        <f t="shared" si="218"/>
        <v>#DIV/0!</v>
      </c>
      <c r="Q571" s="667" t="e">
        <f t="shared" si="218"/>
        <v>#DIV/0!</v>
      </c>
      <c r="R571" s="182"/>
      <c r="S571" s="182"/>
      <c r="T571" s="182"/>
      <c r="U571" s="182"/>
      <c r="V571" s="182"/>
      <c r="W571" s="182"/>
      <c r="X571" s="182"/>
      <c r="Y571" s="182"/>
      <c r="Z571" s="182"/>
      <c r="AA571" s="182"/>
      <c r="AB571" s="182"/>
      <c r="AC571" s="182"/>
      <c r="AD571" s="182"/>
      <c r="AE571" s="182"/>
      <c r="AF571" s="182"/>
      <c r="AG571" s="182"/>
      <c r="AH571" s="182"/>
      <c r="AI571" s="182"/>
      <c r="AJ571" s="182"/>
      <c r="AK571" s="182"/>
      <c r="AL571" s="182"/>
      <c r="AM571" s="182"/>
      <c r="AN571" s="182"/>
      <c r="AO571" s="182"/>
      <c r="AP571" s="182"/>
      <c r="AQ571" s="182"/>
      <c r="AR571" s="182"/>
      <c r="AS571" s="182"/>
      <c r="AT571" s="182"/>
      <c r="AU571" s="182"/>
      <c r="AV571" s="182"/>
      <c r="AW571" s="182"/>
      <c r="AX571" s="182"/>
      <c r="AY571" s="182"/>
      <c r="AZ571" s="182"/>
    </row>
    <row r="572" spans="3:52">
      <c r="C572" s="664">
        <v>27</v>
      </c>
      <c r="D572" s="283"/>
      <c r="E572" s="283"/>
      <c r="F572" s="283" t="e">
        <f t="shared" si="218"/>
        <v>#DIV/0!</v>
      </c>
      <c r="G572" s="283" t="e">
        <f t="shared" si="218"/>
        <v>#DIV/0!</v>
      </c>
      <c r="H572" s="283" t="e">
        <f t="shared" si="218"/>
        <v>#DIV/0!</v>
      </c>
      <c r="I572" s="283" t="e">
        <f t="shared" si="218"/>
        <v>#DIV/0!</v>
      </c>
      <c r="J572" s="283" t="e">
        <f t="shared" si="218"/>
        <v>#DIV/0!</v>
      </c>
      <c r="K572" s="283" t="e">
        <f t="shared" si="218"/>
        <v>#DIV/0!</v>
      </c>
      <c r="L572" s="283" t="e">
        <f t="shared" si="218"/>
        <v>#DIV/0!</v>
      </c>
      <c r="M572" s="283" t="e">
        <f t="shared" si="218"/>
        <v>#DIV/0!</v>
      </c>
      <c r="N572" s="283" t="e">
        <f t="shared" si="218"/>
        <v>#DIV/0!</v>
      </c>
      <c r="O572" s="283" t="e">
        <f t="shared" si="218"/>
        <v>#DIV/0!</v>
      </c>
      <c r="P572" s="283" t="e">
        <f t="shared" si="218"/>
        <v>#DIV/0!</v>
      </c>
      <c r="Q572" s="667" t="e">
        <f t="shared" si="218"/>
        <v>#DIV/0!</v>
      </c>
      <c r="R572" s="182"/>
      <c r="S572" s="182"/>
      <c r="T572" s="182"/>
      <c r="U572" s="182"/>
      <c r="V572" s="182"/>
      <c r="W572" s="182"/>
      <c r="X572" s="182"/>
      <c r="Y572" s="182"/>
      <c r="Z572" s="182"/>
      <c r="AA572" s="182"/>
      <c r="AB572" s="182"/>
      <c r="AC572" s="182"/>
      <c r="AD572" s="182"/>
      <c r="AE572" s="182"/>
      <c r="AF572" s="182"/>
      <c r="AG572" s="182"/>
      <c r="AH572" s="182"/>
      <c r="AI572" s="182"/>
      <c r="AJ572" s="182"/>
      <c r="AK572" s="182"/>
      <c r="AL572" s="182"/>
      <c r="AM572" s="182"/>
      <c r="AN572" s="182"/>
      <c r="AO572" s="182"/>
      <c r="AP572" s="182"/>
      <c r="AQ572" s="182"/>
      <c r="AR572" s="182"/>
      <c r="AS572" s="182"/>
      <c r="AT572" s="182"/>
      <c r="AU572" s="182"/>
      <c r="AV572" s="182"/>
      <c r="AW572" s="182"/>
      <c r="AX572" s="182"/>
      <c r="AY572" s="182"/>
      <c r="AZ572" s="182"/>
    </row>
    <row r="573" spans="3:52">
      <c r="C573" s="664">
        <v>28</v>
      </c>
      <c r="D573" s="283"/>
      <c r="E573" s="283"/>
      <c r="F573" s="283" t="e">
        <f t="shared" si="218"/>
        <v>#DIV/0!</v>
      </c>
      <c r="G573" s="283" t="e">
        <f t="shared" si="218"/>
        <v>#DIV/0!</v>
      </c>
      <c r="H573" s="283" t="e">
        <f t="shared" si="218"/>
        <v>#DIV/0!</v>
      </c>
      <c r="I573" s="283" t="e">
        <f t="shared" si="218"/>
        <v>#DIV/0!</v>
      </c>
      <c r="J573" s="283" t="e">
        <f t="shared" si="218"/>
        <v>#DIV/0!</v>
      </c>
      <c r="K573" s="283" t="e">
        <f t="shared" si="218"/>
        <v>#DIV/0!</v>
      </c>
      <c r="L573" s="283" t="e">
        <f t="shared" si="218"/>
        <v>#DIV/0!</v>
      </c>
      <c r="M573" s="283" t="e">
        <f t="shared" si="218"/>
        <v>#DIV/0!</v>
      </c>
      <c r="N573" s="283" t="e">
        <f t="shared" si="218"/>
        <v>#DIV/0!</v>
      </c>
      <c r="O573" s="283" t="e">
        <f t="shared" si="218"/>
        <v>#DIV/0!</v>
      </c>
      <c r="P573" s="283" t="e">
        <f t="shared" si="218"/>
        <v>#DIV/0!</v>
      </c>
      <c r="Q573" s="667" t="e">
        <f t="shared" si="218"/>
        <v>#DIV/0!</v>
      </c>
      <c r="R573" s="182"/>
      <c r="S573" s="182"/>
      <c r="T573" s="182"/>
      <c r="U573" s="182"/>
      <c r="V573" s="182"/>
      <c r="W573" s="182"/>
      <c r="X573" s="182"/>
      <c r="Y573" s="182"/>
      <c r="Z573" s="182"/>
      <c r="AA573" s="182"/>
      <c r="AB573" s="182"/>
      <c r="AC573" s="182"/>
      <c r="AD573" s="182"/>
      <c r="AE573" s="182"/>
      <c r="AF573" s="182"/>
      <c r="AG573" s="182"/>
      <c r="AH573" s="182"/>
      <c r="AI573" s="182"/>
      <c r="AJ573" s="182"/>
      <c r="AK573" s="182"/>
      <c r="AL573" s="182"/>
      <c r="AM573" s="182"/>
      <c r="AN573" s="182"/>
      <c r="AO573" s="182"/>
      <c r="AP573" s="182"/>
      <c r="AQ573" s="182"/>
      <c r="AR573" s="182"/>
      <c r="AS573" s="182"/>
      <c r="AT573" s="182"/>
      <c r="AU573" s="182"/>
      <c r="AV573" s="182"/>
      <c r="AW573" s="182"/>
      <c r="AX573" s="182"/>
      <c r="AY573" s="182"/>
      <c r="AZ573" s="182"/>
    </row>
    <row r="574" spans="3:52">
      <c r="C574" s="664">
        <v>29</v>
      </c>
      <c r="D574" s="283"/>
      <c r="E574" s="283"/>
      <c r="F574" s="283" t="e">
        <f t="shared" si="218"/>
        <v>#DIV/0!</v>
      </c>
      <c r="G574" s="283" t="e">
        <f t="shared" si="218"/>
        <v>#DIV/0!</v>
      </c>
      <c r="H574" s="283" t="e">
        <f t="shared" si="218"/>
        <v>#DIV/0!</v>
      </c>
      <c r="I574" s="283" t="e">
        <f t="shared" si="218"/>
        <v>#DIV/0!</v>
      </c>
      <c r="J574" s="283" t="e">
        <f t="shared" si="218"/>
        <v>#DIV/0!</v>
      </c>
      <c r="K574" s="283" t="e">
        <f t="shared" si="218"/>
        <v>#DIV/0!</v>
      </c>
      <c r="L574" s="283" t="e">
        <f t="shared" si="218"/>
        <v>#DIV/0!</v>
      </c>
      <c r="M574" s="283" t="e">
        <f t="shared" si="218"/>
        <v>#DIV/0!</v>
      </c>
      <c r="N574" s="283" t="e">
        <f t="shared" si="218"/>
        <v>#DIV/0!</v>
      </c>
      <c r="O574" s="283" t="e">
        <f t="shared" si="218"/>
        <v>#DIV/0!</v>
      </c>
      <c r="P574" s="283" t="e">
        <f t="shared" si="218"/>
        <v>#DIV/0!</v>
      </c>
      <c r="Q574" s="667" t="e">
        <f t="shared" si="218"/>
        <v>#DIV/0!</v>
      </c>
      <c r="R574" s="182"/>
      <c r="S574" s="182"/>
      <c r="T574" s="182"/>
      <c r="U574" s="182"/>
      <c r="V574" s="182"/>
      <c r="W574" s="182"/>
      <c r="X574" s="182"/>
      <c r="Y574" s="182"/>
      <c r="Z574" s="182"/>
      <c r="AA574" s="182"/>
      <c r="AB574" s="182"/>
      <c r="AC574" s="182"/>
      <c r="AD574" s="182"/>
      <c r="AE574" s="182"/>
      <c r="AF574" s="182"/>
      <c r="AG574" s="182"/>
      <c r="AH574" s="182"/>
      <c r="AI574" s="182"/>
      <c r="AJ574" s="182"/>
      <c r="AK574" s="182"/>
      <c r="AL574" s="182"/>
      <c r="AM574" s="182"/>
      <c r="AN574" s="182"/>
      <c r="AO574" s="182"/>
      <c r="AP574" s="182"/>
      <c r="AQ574" s="182"/>
      <c r="AR574" s="182"/>
      <c r="AS574" s="182"/>
      <c r="AT574" s="182"/>
      <c r="AU574" s="182"/>
      <c r="AV574" s="182"/>
      <c r="AW574" s="182"/>
      <c r="AX574" s="182"/>
      <c r="AY574" s="182"/>
      <c r="AZ574" s="182"/>
    </row>
    <row r="575" spans="3:52">
      <c r="C575" s="664">
        <v>30</v>
      </c>
      <c r="D575" s="283"/>
      <c r="E575" s="283"/>
      <c r="F575" s="283" t="e">
        <f t="shared" si="218"/>
        <v>#DIV/0!</v>
      </c>
      <c r="G575" s="283" t="e">
        <f t="shared" si="218"/>
        <v>#DIV/0!</v>
      </c>
      <c r="H575" s="283" t="e">
        <f t="shared" si="218"/>
        <v>#DIV/0!</v>
      </c>
      <c r="I575" s="283" t="e">
        <f t="shared" si="218"/>
        <v>#DIV/0!</v>
      </c>
      <c r="J575" s="283" t="e">
        <f t="shared" si="218"/>
        <v>#DIV/0!</v>
      </c>
      <c r="K575" s="283" t="e">
        <f t="shared" si="218"/>
        <v>#DIV/0!</v>
      </c>
      <c r="L575" s="283" t="e">
        <f t="shared" si="218"/>
        <v>#DIV/0!</v>
      </c>
      <c r="M575" s="283" t="e">
        <f t="shared" si="218"/>
        <v>#DIV/0!</v>
      </c>
      <c r="N575" s="283" t="e">
        <f t="shared" si="218"/>
        <v>#DIV/0!</v>
      </c>
      <c r="O575" s="283" t="e">
        <f t="shared" si="218"/>
        <v>#DIV/0!</v>
      </c>
      <c r="P575" s="283" t="e">
        <f t="shared" si="218"/>
        <v>#DIV/0!</v>
      </c>
      <c r="Q575" s="667" t="e">
        <f t="shared" si="218"/>
        <v>#DIV/0!</v>
      </c>
      <c r="R575" s="182"/>
      <c r="S575" s="182"/>
      <c r="T575" s="182"/>
      <c r="U575" s="182"/>
      <c r="V575" s="182"/>
      <c r="W575" s="182"/>
      <c r="X575" s="182"/>
      <c r="Y575" s="182"/>
      <c r="Z575" s="182"/>
      <c r="AA575" s="182"/>
      <c r="AB575" s="182"/>
      <c r="AC575" s="182"/>
      <c r="AD575" s="182"/>
      <c r="AE575" s="182"/>
      <c r="AF575" s="182"/>
      <c r="AG575" s="182"/>
      <c r="AH575" s="182"/>
      <c r="AI575" s="182"/>
      <c r="AJ575" s="182"/>
      <c r="AK575" s="182"/>
      <c r="AL575" s="182"/>
      <c r="AM575" s="182"/>
      <c r="AN575" s="182"/>
      <c r="AO575" s="182"/>
      <c r="AP575" s="182"/>
      <c r="AQ575" s="182"/>
      <c r="AR575" s="182"/>
      <c r="AS575" s="182"/>
      <c r="AT575" s="182"/>
      <c r="AU575" s="182"/>
      <c r="AV575" s="182"/>
      <c r="AW575" s="182"/>
      <c r="AX575" s="182"/>
      <c r="AY575" s="182"/>
      <c r="AZ575" s="182"/>
    </row>
    <row r="576" spans="3:52">
      <c r="C576" s="664"/>
      <c r="D576" s="283"/>
      <c r="E576" s="283"/>
      <c r="F576" s="283"/>
      <c r="G576" s="283"/>
      <c r="H576" s="283"/>
      <c r="I576" s="283"/>
      <c r="J576" s="283"/>
      <c r="K576" s="283"/>
      <c r="L576" s="283"/>
      <c r="M576" s="283"/>
      <c r="N576" s="283"/>
      <c r="O576" s="283"/>
      <c r="P576" s="283"/>
      <c r="Q576" s="667"/>
      <c r="R576" s="182"/>
      <c r="S576" s="182"/>
      <c r="T576" s="182"/>
      <c r="U576" s="182"/>
      <c r="V576" s="182"/>
      <c r="W576" s="182"/>
      <c r="X576" s="182"/>
      <c r="Y576" s="182"/>
      <c r="Z576" s="182"/>
      <c r="AA576" s="182"/>
      <c r="AB576" s="182"/>
      <c r="AC576" s="182"/>
      <c r="AD576" s="182"/>
      <c r="AE576" s="182"/>
      <c r="AF576" s="182"/>
      <c r="AG576" s="182"/>
      <c r="AH576" s="182"/>
      <c r="AI576" s="182"/>
      <c r="AJ576" s="182"/>
      <c r="AK576" s="182"/>
      <c r="AL576" s="182"/>
      <c r="AM576" s="182"/>
      <c r="AN576" s="182"/>
      <c r="AO576" s="182"/>
      <c r="AP576" s="182"/>
      <c r="AQ576" s="182"/>
      <c r="AR576" s="182"/>
      <c r="AS576" s="182"/>
      <c r="AT576" s="182"/>
      <c r="AU576" s="182"/>
      <c r="AV576" s="182"/>
      <c r="AW576" s="182"/>
      <c r="AX576" s="182"/>
      <c r="AY576" s="182"/>
      <c r="AZ576" s="182"/>
    </row>
    <row r="577" spans="3:57" ht="16">
      <c r="C577" s="664" t="s">
        <v>173</v>
      </c>
      <c r="D577" s="283"/>
      <c r="E577" s="283"/>
      <c r="F577" s="283">
        <f>E546+D547</f>
        <v>0</v>
      </c>
      <c r="G577" s="283" t="e">
        <f>F546+E547+D548</f>
        <v>#DIV/0!</v>
      </c>
      <c r="H577" s="283" t="e">
        <f>G546+F547+E548+D549</f>
        <v>#DIV/0!</v>
      </c>
      <c r="I577" s="283" t="e">
        <f>H546+G547+F548+E549+D550</f>
        <v>#DIV/0!</v>
      </c>
      <c r="J577" s="283" t="e">
        <f>I546+H547+G548+F549+E550+D551</f>
        <v>#DIV/0!</v>
      </c>
      <c r="K577" s="283" t="e">
        <f>J546+I547+H548+G549+F550+E551+D552</f>
        <v>#DIV/0!</v>
      </c>
      <c r="L577" s="283" t="e">
        <f>K546+J547+I548+H549+G550+F551+E552+D553</f>
        <v>#DIV/0!</v>
      </c>
      <c r="M577" s="283" t="e">
        <f>L546+K547+J548+I549+H550+G551+F552+E553+D554</f>
        <v>#DIV/0!</v>
      </c>
      <c r="N577" s="283" t="e">
        <f>M546+L547+K548+J549+I550+H551+G552+F553+E554+D555</f>
        <v>#DIV/0!</v>
      </c>
      <c r="O577" s="283" t="e">
        <f>N546+M547+L548+K549+J550+I551+H552+G553+F554+E555+D556</f>
        <v>#DIV/0!</v>
      </c>
      <c r="P577" s="283" t="e">
        <f>O546+N547+M548+L549+K550+J551+I552+H553+G554+F555+E556</f>
        <v>#DIV/0!</v>
      </c>
      <c r="Q577" s="667" t="e">
        <f>P546+O547+N548+M549+L550+K551+J552+I553+H554+G555+F556</f>
        <v>#DIV/0!</v>
      </c>
      <c r="R577" s="283"/>
      <c r="S577" s="283"/>
      <c r="T577" s="182"/>
      <c r="U577" s="182"/>
      <c r="V577" s="182"/>
      <c r="W577" s="182"/>
      <c r="X577" s="182"/>
      <c r="Y577" s="182"/>
      <c r="Z577" s="182"/>
      <c r="AA577" s="182"/>
      <c r="AB577" s="182"/>
      <c r="AC577" s="182"/>
      <c r="AD577" s="182"/>
      <c r="AE577" s="182"/>
      <c r="AF577" s="182"/>
      <c r="AG577" s="182"/>
      <c r="AH577" s="182"/>
      <c r="AI577" s="182"/>
      <c r="AJ577" s="182"/>
      <c r="AK577" s="182"/>
      <c r="AL577" s="182"/>
      <c r="AM577" s="182"/>
      <c r="AN577" s="182"/>
      <c r="AO577" s="182"/>
      <c r="AP577" s="182"/>
      <c r="AQ577" s="182"/>
      <c r="AR577" s="182"/>
      <c r="AS577" s="182"/>
      <c r="AT577" s="182"/>
      <c r="AU577" s="182"/>
      <c r="AV577" s="182"/>
      <c r="AW577" s="182"/>
      <c r="AX577" s="182"/>
      <c r="AY577" s="182"/>
      <c r="AZ577" s="182"/>
    </row>
    <row r="578" spans="3:57">
      <c r="C578" s="704"/>
      <c r="D578" s="705"/>
      <c r="E578" s="705"/>
      <c r="F578" s="705"/>
      <c r="G578" s="705"/>
      <c r="H578" s="705"/>
      <c r="I578" s="705"/>
      <c r="J578" s="705"/>
      <c r="K578" s="705"/>
      <c r="L578" s="705"/>
      <c r="M578" s="705"/>
      <c r="N578" s="705"/>
      <c r="O578" s="705"/>
      <c r="P578" s="705"/>
      <c r="Q578" s="706"/>
      <c r="R578" s="283"/>
      <c r="S578" s="283"/>
      <c r="T578" s="182"/>
      <c r="U578" s="182"/>
      <c r="V578" s="182"/>
      <c r="W578" s="182"/>
      <c r="X578" s="182"/>
      <c r="Y578" s="182"/>
      <c r="Z578" s="182"/>
      <c r="AA578" s="182"/>
      <c r="AB578" s="182"/>
      <c r="AC578" s="182"/>
      <c r="AD578" s="182"/>
      <c r="AE578" s="182"/>
      <c r="AF578" s="182"/>
      <c r="AG578" s="182"/>
      <c r="AH578" s="182"/>
      <c r="AI578" s="182"/>
      <c r="AJ578" s="182"/>
      <c r="AK578" s="182"/>
      <c r="AL578" s="182"/>
      <c r="AM578" s="182"/>
      <c r="AN578" s="182"/>
      <c r="AO578" s="182"/>
      <c r="AP578" s="182"/>
      <c r="AQ578" s="182"/>
      <c r="AR578" s="182"/>
      <c r="AS578" s="182"/>
      <c r="AT578" s="182"/>
      <c r="AU578" s="182"/>
      <c r="AV578" s="182"/>
      <c r="AW578" s="182"/>
      <c r="AX578" s="182"/>
      <c r="AY578" s="182"/>
      <c r="AZ578" s="182"/>
    </row>
    <row r="581" spans="3:57" ht="16">
      <c r="C581" s="707" t="s">
        <v>215</v>
      </c>
      <c r="D581" s="708">
        <v>2022</v>
      </c>
      <c r="E581" s="708">
        <v>2023</v>
      </c>
      <c r="F581" s="708">
        <v>2024</v>
      </c>
      <c r="G581" s="708">
        <v>2025</v>
      </c>
      <c r="H581" s="708">
        <v>2026</v>
      </c>
      <c r="I581" s="708">
        <v>2027</v>
      </c>
      <c r="J581" s="708">
        <v>2028</v>
      </c>
      <c r="K581" s="708">
        <v>2029</v>
      </c>
      <c r="L581" s="708">
        <v>2030</v>
      </c>
      <c r="M581" s="708">
        <v>2031</v>
      </c>
      <c r="N581" s="708">
        <v>2032</v>
      </c>
      <c r="O581" s="708">
        <v>2033</v>
      </c>
      <c r="P581" s="708">
        <v>2034</v>
      </c>
      <c r="Q581" s="709">
        <v>2035</v>
      </c>
      <c r="R581" s="322">
        <v>2036</v>
      </c>
      <c r="S581" s="322">
        <v>2037</v>
      </c>
      <c r="T581" s="322">
        <v>2038</v>
      </c>
      <c r="U581" s="322">
        <v>2039</v>
      </c>
      <c r="V581" s="322">
        <v>2040</v>
      </c>
      <c r="W581" s="322">
        <v>2041</v>
      </c>
      <c r="X581" s="322">
        <v>2042</v>
      </c>
      <c r="Y581" s="322">
        <v>2043</v>
      </c>
      <c r="Z581" s="322">
        <v>2044</v>
      </c>
      <c r="AA581" s="322">
        <v>2045</v>
      </c>
      <c r="AB581" s="322">
        <v>2046</v>
      </c>
      <c r="AC581" s="322">
        <v>2047</v>
      </c>
      <c r="AD581" s="322">
        <v>2048</v>
      </c>
      <c r="AE581" s="322">
        <v>2049</v>
      </c>
      <c r="AF581" s="322">
        <v>2050</v>
      </c>
      <c r="AG581" s="322">
        <v>2051</v>
      </c>
      <c r="AH581" s="322">
        <v>2052</v>
      </c>
      <c r="AI581" s="322">
        <v>2053</v>
      </c>
      <c r="AJ581" s="322">
        <v>2054</v>
      </c>
      <c r="AK581" s="322">
        <v>2055</v>
      </c>
      <c r="AL581" s="322">
        <v>2056</v>
      </c>
      <c r="AM581" s="322">
        <v>2057</v>
      </c>
      <c r="AN581" s="322">
        <v>2058</v>
      </c>
      <c r="AO581" s="322">
        <v>2059</v>
      </c>
      <c r="AP581" s="322">
        <v>2060</v>
      </c>
      <c r="AQ581" s="322">
        <v>2061</v>
      </c>
      <c r="AR581" s="322">
        <v>2062</v>
      </c>
      <c r="AS581" s="322">
        <v>2063</v>
      </c>
      <c r="AT581" s="322">
        <v>2064</v>
      </c>
      <c r="AU581" s="322">
        <v>2065</v>
      </c>
      <c r="AV581" s="322">
        <v>2066</v>
      </c>
      <c r="AW581" s="322">
        <v>2067</v>
      </c>
      <c r="AX581" s="322">
        <v>2068</v>
      </c>
      <c r="AY581" s="322">
        <v>2069</v>
      </c>
      <c r="AZ581" s="322">
        <v>2070</v>
      </c>
      <c r="BA581" s="182"/>
      <c r="BB581" s="182"/>
      <c r="BC581" s="182"/>
      <c r="BD581" s="182"/>
      <c r="BE581" s="182"/>
    </row>
    <row r="582" spans="3:57" ht="16">
      <c r="C582" s="664" t="s">
        <v>203</v>
      </c>
      <c r="D582" s="283">
        <f>'Deuda a emitir'!D16</f>
        <v>4257.12</v>
      </c>
      <c r="E582" s="283">
        <f>'Deuda a emitir'!E16</f>
        <v>4330.1400000000003</v>
      </c>
      <c r="F582" s="283">
        <f>'Deuda a emitir'!F16</f>
        <v>0</v>
      </c>
      <c r="G582" s="283">
        <f>'Deuda a emitir'!G16</f>
        <v>0</v>
      </c>
      <c r="H582" s="283">
        <f>'Deuda a emitir'!H16</f>
        <v>0</v>
      </c>
      <c r="I582" s="283">
        <f>'Deuda a emitir'!I16</f>
        <v>0</v>
      </c>
      <c r="J582" s="283">
        <f>'Deuda a emitir'!J16</f>
        <v>0</v>
      </c>
      <c r="K582" s="283">
        <f>'Deuda a emitir'!K16</f>
        <v>0</v>
      </c>
      <c r="L582" s="283">
        <f>'Deuda a emitir'!L16</f>
        <v>0</v>
      </c>
      <c r="M582" s="283">
        <f>'Deuda a emitir'!M16</f>
        <v>0</v>
      </c>
      <c r="N582" s="283">
        <f>'Deuda a emitir'!N16</f>
        <v>0</v>
      </c>
      <c r="O582" s="283">
        <f>'Deuda a emitir'!O16</f>
        <v>0</v>
      </c>
      <c r="P582" s="283">
        <f>'Deuda a emitir'!P16</f>
        <v>0</v>
      </c>
      <c r="Q582" s="667">
        <f>'Deuda a emitir'!Q16</f>
        <v>0</v>
      </c>
      <c r="R582" s="283">
        <f>'Deuda a emitir'!R16</f>
        <v>0</v>
      </c>
      <c r="S582" s="283">
        <f>'Deuda a emitir'!S16</f>
        <v>0</v>
      </c>
      <c r="T582" s="283">
        <f>'Deuda a emitir'!T16</f>
        <v>0</v>
      </c>
      <c r="U582" s="283">
        <f>'Deuda a emitir'!U16</f>
        <v>0</v>
      </c>
      <c r="V582" s="283">
        <f>'Deuda a emitir'!V16</f>
        <v>0</v>
      </c>
      <c r="W582" s="283">
        <f>'Deuda a emitir'!W16</f>
        <v>0</v>
      </c>
      <c r="X582" s="283">
        <f>'Deuda a emitir'!X16</f>
        <v>0</v>
      </c>
      <c r="Y582" s="283">
        <f>'Deuda a emitir'!Y16</f>
        <v>0</v>
      </c>
      <c r="Z582" s="283">
        <f>'Deuda a emitir'!Z16</f>
        <v>0</v>
      </c>
      <c r="AA582" s="283">
        <f>'Deuda a emitir'!AA16</f>
        <v>0</v>
      </c>
      <c r="AB582" s="283">
        <f>'Deuda a emitir'!AB16</f>
        <v>0</v>
      </c>
      <c r="AC582" s="283">
        <f>'Deuda a emitir'!AC16</f>
        <v>0</v>
      </c>
      <c r="AD582" s="283">
        <f>'Deuda a emitir'!AD16</f>
        <v>0</v>
      </c>
      <c r="AE582" s="283">
        <f>'Deuda a emitir'!AE16</f>
        <v>0</v>
      </c>
      <c r="AF582" s="283">
        <f>'Deuda a emitir'!AF16</f>
        <v>0</v>
      </c>
      <c r="AG582" s="283">
        <f>'Deuda a emitir'!AG16</f>
        <v>0</v>
      </c>
      <c r="AH582" s="283">
        <f>'Deuda a emitir'!AH16</f>
        <v>0</v>
      </c>
      <c r="AI582" s="283">
        <f>'Deuda a emitir'!AI16</f>
        <v>0</v>
      </c>
      <c r="AJ582" s="283">
        <f>'Deuda a emitir'!AJ16</f>
        <v>0</v>
      </c>
      <c r="AK582" s="283">
        <f>'Deuda a emitir'!AK16</f>
        <v>0</v>
      </c>
      <c r="AL582" s="283">
        <f>'Deuda a emitir'!AL16</f>
        <v>0</v>
      </c>
      <c r="AM582" s="283">
        <f>'Deuda a emitir'!AM16</f>
        <v>0</v>
      </c>
      <c r="AN582" s="283">
        <f>'Deuda a emitir'!AN16</f>
        <v>0</v>
      </c>
      <c r="AO582" s="283">
        <f>'Deuda a emitir'!AO16</f>
        <v>0</v>
      </c>
      <c r="AP582" s="283">
        <f>'Deuda a emitir'!AP16</f>
        <v>0</v>
      </c>
      <c r="AQ582" s="283">
        <f>'Deuda a emitir'!AQ16</f>
        <v>0</v>
      </c>
      <c r="AR582" s="283">
        <f>'Deuda a emitir'!AR16</f>
        <v>0</v>
      </c>
      <c r="AS582" s="283">
        <f>'Deuda a emitir'!AS16</f>
        <v>0</v>
      </c>
      <c r="AT582" s="283">
        <f>'Deuda a emitir'!AT16</f>
        <v>0</v>
      </c>
      <c r="AU582" s="283">
        <f>'Deuda a emitir'!AU16</f>
        <v>0</v>
      </c>
      <c r="AV582" s="283">
        <f>'Deuda a emitir'!AV16</f>
        <v>0</v>
      </c>
      <c r="AW582" s="283">
        <f>'Deuda a emitir'!AW16</f>
        <v>0</v>
      </c>
      <c r="AX582" s="283">
        <f>'Deuda a emitir'!AX16</f>
        <v>0</v>
      </c>
      <c r="AY582" s="283">
        <f>'Deuda a emitir'!AY16</f>
        <v>0</v>
      </c>
      <c r="AZ582" s="283">
        <f>'Deuda a emitir'!AZ16</f>
        <v>0</v>
      </c>
      <c r="BA582" s="182"/>
      <c r="BB582" s="182"/>
      <c r="BC582" s="182"/>
      <c r="BD582" s="182"/>
      <c r="BE582" s="182"/>
    </row>
    <row r="583" spans="3:57" ht="32">
      <c r="C583" s="664" t="s">
        <v>204</v>
      </c>
      <c r="D583" s="283"/>
      <c r="E583" s="283"/>
      <c r="F583" s="283">
        <f>'Deuda a emitir'!F$143*'Deuda a emitir'!F67</f>
        <v>0</v>
      </c>
      <c r="G583" s="283" t="e">
        <f>'Deuda a emitir'!G$143*'Deuda a emitir'!G67</f>
        <v>#DIV/0!</v>
      </c>
      <c r="H583" s="283" t="e">
        <f>'Deuda a emitir'!H$143*'Deuda a emitir'!H67</f>
        <v>#DIV/0!</v>
      </c>
      <c r="I583" s="283" t="e">
        <f>'Deuda a emitir'!I$143*'Deuda a emitir'!I67</f>
        <v>#DIV/0!</v>
      </c>
      <c r="J583" s="283" t="e">
        <f>'Deuda a emitir'!J$143*'Deuda a emitir'!J67</f>
        <v>#DIV/0!</v>
      </c>
      <c r="K583" s="283" t="e">
        <f>'Deuda a emitir'!K$143*'Deuda a emitir'!K67</f>
        <v>#DIV/0!</v>
      </c>
      <c r="L583" s="283" t="e">
        <f>'Deuda a emitir'!L$143*'Deuda a emitir'!L67</f>
        <v>#DIV/0!</v>
      </c>
      <c r="M583" s="283" t="e">
        <f>'Deuda a emitir'!M$143*'Deuda a emitir'!M67</f>
        <v>#DIV/0!</v>
      </c>
      <c r="N583" s="283" t="e">
        <f>'Deuda a emitir'!N$143*'Deuda a emitir'!N67</f>
        <v>#DIV/0!</v>
      </c>
      <c r="O583" s="283" t="e">
        <f>'Deuda a emitir'!O$143*'Deuda a emitir'!O67</f>
        <v>#DIV/0!</v>
      </c>
      <c r="P583" s="283" t="e">
        <f>'Deuda a emitir'!P$143*'Deuda a emitir'!P67</f>
        <v>#DIV/0!</v>
      </c>
      <c r="Q583" s="667" t="e">
        <f>'Deuda a emitir'!Q$143*'Deuda a emitir'!Q67</f>
        <v>#DIV/0!</v>
      </c>
      <c r="R583" s="283"/>
      <c r="S583" s="283"/>
      <c r="T583" s="182"/>
      <c r="U583" s="182"/>
      <c r="V583" s="182"/>
      <c r="W583" s="182"/>
      <c r="X583" s="182"/>
      <c r="Y583" s="182"/>
      <c r="Z583" s="182"/>
      <c r="AA583" s="182"/>
      <c r="AB583" s="182"/>
      <c r="AC583" s="182"/>
      <c r="AD583" s="182"/>
      <c r="AE583" s="182"/>
      <c r="AF583" s="182"/>
      <c r="AG583" s="182"/>
      <c r="AH583" s="182"/>
      <c r="AI583" s="182"/>
      <c r="AJ583" s="182"/>
      <c r="AK583" s="182"/>
      <c r="AL583" s="182"/>
      <c r="AM583" s="182"/>
      <c r="AN583" s="182"/>
      <c r="AO583" s="182"/>
      <c r="AP583" s="182"/>
      <c r="AQ583" s="182"/>
      <c r="AR583" s="182"/>
      <c r="AS583" s="182"/>
      <c r="AT583" s="182"/>
      <c r="AU583" s="182"/>
      <c r="AV583" s="182"/>
      <c r="AW583" s="182"/>
      <c r="AX583" s="182"/>
      <c r="AY583" s="182"/>
      <c r="AZ583" s="182"/>
      <c r="BA583" s="182"/>
      <c r="BB583" s="182"/>
      <c r="BC583" s="182"/>
      <c r="BD583" s="182"/>
      <c r="BE583" s="182"/>
    </row>
    <row r="584" spans="3:57" ht="32">
      <c r="C584" s="664" t="s">
        <v>171</v>
      </c>
      <c r="D584" s="313"/>
      <c r="E584" s="313"/>
      <c r="F584" s="313">
        <f>'Deuda a emitir'!F$155*'Deuda a emitir'!F67</f>
        <v>0</v>
      </c>
      <c r="G584" s="313">
        <f>'Deuda a emitir'!G$155*'Deuda a emitir'!G67</f>
        <v>0</v>
      </c>
      <c r="H584" s="313">
        <f>'Deuda a emitir'!H$155*'Deuda a emitir'!H67</f>
        <v>0</v>
      </c>
      <c r="I584" s="313">
        <f>'Deuda a emitir'!I$155*'Deuda a emitir'!I67</f>
        <v>0</v>
      </c>
      <c r="J584" s="313">
        <f>'Deuda a emitir'!J$155*'Deuda a emitir'!J67</f>
        <v>0</v>
      </c>
      <c r="K584" s="313">
        <f>'Deuda a emitir'!K$155*'Deuda a emitir'!K67</f>
        <v>0</v>
      </c>
      <c r="L584" s="313">
        <f>'Deuda a emitir'!L$155*'Deuda a emitir'!L67</f>
        <v>0</v>
      </c>
      <c r="M584" s="313">
        <f>'Deuda a emitir'!M$155*'Deuda a emitir'!M67</f>
        <v>0</v>
      </c>
      <c r="N584" s="313">
        <f>'Deuda a emitir'!N$155*'Deuda a emitir'!N67</f>
        <v>0</v>
      </c>
      <c r="O584" s="313">
        <f>'Deuda a emitir'!O$155*'Deuda a emitir'!O67</f>
        <v>0</v>
      </c>
      <c r="P584" s="313">
        <f>'Deuda a emitir'!P$155*'Deuda a emitir'!P67</f>
        <v>0</v>
      </c>
      <c r="Q584" s="683">
        <f>'Deuda a emitir'!Q$155*'Deuda a emitir'!Q67</f>
        <v>0</v>
      </c>
      <c r="R584" s="283"/>
      <c r="S584" s="283"/>
      <c r="T584" s="182"/>
      <c r="U584" s="182"/>
      <c r="V584" s="182"/>
      <c r="W584" s="182"/>
      <c r="X584" s="182"/>
      <c r="Y584" s="182"/>
      <c r="Z584" s="182"/>
      <c r="AA584" s="182"/>
      <c r="AB584" s="182"/>
      <c r="AC584" s="182"/>
      <c r="AD584" s="182"/>
      <c r="AE584" s="182"/>
      <c r="AF584" s="182"/>
      <c r="AG584" s="182"/>
      <c r="AH584" s="182"/>
      <c r="AI584" s="182"/>
      <c r="AJ584" s="182"/>
      <c r="AK584" s="182"/>
      <c r="AL584" s="182"/>
      <c r="AM584" s="182"/>
      <c r="AN584" s="182"/>
      <c r="AO584" s="182"/>
      <c r="AP584" s="182"/>
      <c r="AQ584" s="182"/>
      <c r="AR584" s="182"/>
      <c r="AS584" s="182"/>
      <c r="AT584" s="182"/>
      <c r="AU584" s="182"/>
      <c r="AV584" s="182"/>
      <c r="AW584" s="182"/>
      <c r="AX584" s="182"/>
      <c r="AY584" s="182"/>
      <c r="AZ584" s="182"/>
      <c r="BA584" s="182"/>
      <c r="BB584" s="182"/>
      <c r="BC584" s="182"/>
      <c r="BD584" s="182"/>
      <c r="BE584" s="182"/>
    </row>
    <row r="585" spans="3:57" ht="16">
      <c r="C585" s="668" t="s">
        <v>172</v>
      </c>
      <c r="D585" s="288"/>
      <c r="E585" s="288"/>
      <c r="F585" s="288">
        <f t="shared" ref="F585:Q585" si="219">+(F583+F584)</f>
        <v>0</v>
      </c>
      <c r="G585" s="288" t="e">
        <f t="shared" si="219"/>
        <v>#DIV/0!</v>
      </c>
      <c r="H585" s="288" t="e">
        <f t="shared" si="219"/>
        <v>#DIV/0!</v>
      </c>
      <c r="I585" s="288" t="e">
        <f t="shared" si="219"/>
        <v>#DIV/0!</v>
      </c>
      <c r="J585" s="288" t="e">
        <f t="shared" si="219"/>
        <v>#DIV/0!</v>
      </c>
      <c r="K585" s="288" t="e">
        <f t="shared" si="219"/>
        <v>#DIV/0!</v>
      </c>
      <c r="L585" s="288" t="e">
        <f t="shared" si="219"/>
        <v>#DIV/0!</v>
      </c>
      <c r="M585" s="288" t="e">
        <f t="shared" si="219"/>
        <v>#DIV/0!</v>
      </c>
      <c r="N585" s="288" t="e">
        <f t="shared" si="219"/>
        <v>#DIV/0!</v>
      </c>
      <c r="O585" s="288" t="e">
        <f t="shared" si="219"/>
        <v>#DIV/0!</v>
      </c>
      <c r="P585" s="288" t="e">
        <f t="shared" si="219"/>
        <v>#DIV/0!</v>
      </c>
      <c r="Q585" s="685" t="e">
        <f t="shared" si="219"/>
        <v>#DIV/0!</v>
      </c>
      <c r="R585" s="283"/>
      <c r="S585" s="283"/>
      <c r="T585" s="182"/>
      <c r="U585" s="182"/>
      <c r="V585" s="182"/>
      <c r="W585" s="182"/>
      <c r="X585" s="182"/>
      <c r="Y585" s="182"/>
      <c r="Z585" s="182"/>
      <c r="AA585" s="182"/>
      <c r="AB585" s="182"/>
      <c r="AC585" s="182"/>
      <c r="AD585" s="182"/>
      <c r="AE585" s="182"/>
      <c r="AF585" s="182"/>
      <c r="AG585" s="182"/>
      <c r="AH585" s="182"/>
      <c r="AI585" s="182"/>
      <c r="AJ585" s="182"/>
      <c r="AK585" s="182"/>
      <c r="AL585" s="182"/>
      <c r="AM585" s="182"/>
      <c r="AN585" s="182"/>
      <c r="AO585" s="182"/>
      <c r="AP585" s="182"/>
      <c r="AQ585" s="182"/>
      <c r="AR585" s="182"/>
      <c r="AS585" s="182"/>
      <c r="AT585" s="182"/>
      <c r="AU585" s="182"/>
      <c r="AV585" s="182"/>
      <c r="AW585" s="182"/>
      <c r="AX585" s="182"/>
      <c r="AY585" s="182"/>
      <c r="AZ585" s="182"/>
      <c r="BA585" s="182"/>
      <c r="BB585" s="182"/>
      <c r="BC585" s="182"/>
      <c r="BD585" s="182"/>
      <c r="BE585" s="182"/>
    </row>
    <row r="586" spans="3:57" ht="16">
      <c r="C586" s="686" t="s">
        <v>205</v>
      </c>
      <c r="D586" s="687"/>
      <c r="E586" s="688"/>
      <c r="F586" s="688" t="e">
        <f t="shared" ref="F586:Q588" si="220">F583/F$582</f>
        <v>#DIV/0!</v>
      </c>
      <c r="G586" s="688" t="e">
        <f t="shared" si="220"/>
        <v>#DIV/0!</v>
      </c>
      <c r="H586" s="688" t="e">
        <f t="shared" si="220"/>
        <v>#DIV/0!</v>
      </c>
      <c r="I586" s="688" t="e">
        <f t="shared" si="220"/>
        <v>#DIV/0!</v>
      </c>
      <c r="J586" s="688" t="e">
        <f t="shared" si="220"/>
        <v>#DIV/0!</v>
      </c>
      <c r="K586" s="688" t="e">
        <f t="shared" si="220"/>
        <v>#DIV/0!</v>
      </c>
      <c r="L586" s="688" t="e">
        <f t="shared" si="220"/>
        <v>#DIV/0!</v>
      </c>
      <c r="M586" s="688" t="e">
        <f t="shared" si="220"/>
        <v>#DIV/0!</v>
      </c>
      <c r="N586" s="688" t="e">
        <f t="shared" si="220"/>
        <v>#DIV/0!</v>
      </c>
      <c r="O586" s="688" t="e">
        <f t="shared" si="220"/>
        <v>#DIV/0!</v>
      </c>
      <c r="P586" s="688" t="e">
        <f t="shared" si="220"/>
        <v>#DIV/0!</v>
      </c>
      <c r="Q586" s="689" t="e">
        <f t="shared" si="220"/>
        <v>#DIV/0!</v>
      </c>
      <c r="R586" s="283"/>
      <c r="S586" s="283"/>
      <c r="T586" s="182"/>
      <c r="U586" s="182"/>
      <c r="V586" s="182"/>
      <c r="W586" s="182"/>
      <c r="X586" s="182"/>
      <c r="Y586" s="182"/>
      <c r="Z586" s="182"/>
      <c r="AA586" s="182"/>
      <c r="AB586" s="182"/>
      <c r="AC586" s="182"/>
      <c r="AD586" s="182"/>
      <c r="AE586" s="182"/>
      <c r="AF586" s="182"/>
      <c r="AG586" s="182"/>
      <c r="AH586" s="182"/>
      <c r="AI586" s="182"/>
      <c r="AJ586" s="182"/>
      <c r="AK586" s="182"/>
      <c r="AL586" s="182"/>
      <c r="AM586" s="182"/>
      <c r="AN586" s="182"/>
      <c r="AO586" s="182"/>
      <c r="AP586" s="182"/>
      <c r="AQ586" s="182"/>
      <c r="AR586" s="182"/>
      <c r="AS586" s="182"/>
      <c r="AT586" s="182"/>
      <c r="AU586" s="182"/>
      <c r="AV586" s="182"/>
      <c r="AW586" s="182"/>
      <c r="AX586" s="182"/>
      <c r="AY586" s="182"/>
      <c r="AZ586" s="182"/>
      <c r="BA586" s="182"/>
      <c r="BB586" s="182"/>
      <c r="BC586" s="182"/>
      <c r="BD586" s="182"/>
      <c r="BE586" s="182"/>
    </row>
    <row r="587" spans="3:57" ht="32">
      <c r="C587" s="686" t="s">
        <v>206</v>
      </c>
      <c r="D587" s="687"/>
      <c r="E587" s="688"/>
      <c r="F587" s="688" t="e">
        <f t="shared" si="220"/>
        <v>#DIV/0!</v>
      </c>
      <c r="G587" s="688" t="e">
        <f t="shared" si="220"/>
        <v>#DIV/0!</v>
      </c>
      <c r="H587" s="688" t="e">
        <f t="shared" si="220"/>
        <v>#DIV/0!</v>
      </c>
      <c r="I587" s="688" t="e">
        <f t="shared" si="220"/>
        <v>#DIV/0!</v>
      </c>
      <c r="J587" s="688" t="e">
        <f t="shared" si="220"/>
        <v>#DIV/0!</v>
      </c>
      <c r="K587" s="688" t="e">
        <f t="shared" si="220"/>
        <v>#DIV/0!</v>
      </c>
      <c r="L587" s="688" t="e">
        <f t="shared" si="220"/>
        <v>#DIV/0!</v>
      </c>
      <c r="M587" s="688" t="e">
        <f t="shared" si="220"/>
        <v>#DIV/0!</v>
      </c>
      <c r="N587" s="688" t="e">
        <f t="shared" si="220"/>
        <v>#DIV/0!</v>
      </c>
      <c r="O587" s="688" t="e">
        <f t="shared" si="220"/>
        <v>#DIV/0!</v>
      </c>
      <c r="P587" s="688" t="e">
        <f t="shared" si="220"/>
        <v>#DIV/0!</v>
      </c>
      <c r="Q587" s="689" t="e">
        <f t="shared" si="220"/>
        <v>#DIV/0!</v>
      </c>
      <c r="R587" s="283"/>
      <c r="S587" s="283"/>
      <c r="T587" s="182"/>
      <c r="U587" s="182"/>
      <c r="V587" s="182"/>
      <c r="W587" s="182"/>
      <c r="X587" s="182"/>
      <c r="Y587" s="182"/>
      <c r="Z587" s="182"/>
      <c r="AA587" s="182"/>
      <c r="AB587" s="182"/>
      <c r="AC587" s="182"/>
      <c r="AD587" s="182"/>
      <c r="AE587" s="182"/>
      <c r="AF587" s="182"/>
      <c r="AG587" s="182"/>
      <c r="AH587" s="182"/>
      <c r="AI587" s="182"/>
      <c r="AJ587" s="182"/>
      <c r="AK587" s="182"/>
      <c r="AL587" s="182"/>
      <c r="AM587" s="182"/>
      <c r="AN587" s="182"/>
      <c r="AO587" s="182"/>
      <c r="AP587" s="182"/>
      <c r="AQ587" s="182"/>
      <c r="AR587" s="182"/>
      <c r="AS587" s="182"/>
      <c r="AT587" s="182"/>
      <c r="AU587" s="182"/>
      <c r="AV587" s="182"/>
      <c r="AW587" s="182"/>
      <c r="AX587" s="182"/>
      <c r="AY587" s="182"/>
      <c r="AZ587" s="182"/>
      <c r="BA587" s="182"/>
      <c r="BB587" s="182"/>
      <c r="BC587" s="182"/>
      <c r="BD587" s="182"/>
      <c r="BE587" s="182"/>
    </row>
    <row r="588" spans="3:57" ht="16">
      <c r="C588" s="686" t="s">
        <v>207</v>
      </c>
      <c r="D588" s="687"/>
      <c r="E588" s="688"/>
      <c r="F588" s="688" t="e">
        <f t="shared" si="220"/>
        <v>#DIV/0!</v>
      </c>
      <c r="G588" s="688" t="e">
        <f t="shared" si="220"/>
        <v>#DIV/0!</v>
      </c>
      <c r="H588" s="688" t="e">
        <f t="shared" si="220"/>
        <v>#DIV/0!</v>
      </c>
      <c r="I588" s="688" t="e">
        <f t="shared" si="220"/>
        <v>#DIV/0!</v>
      </c>
      <c r="J588" s="688" t="e">
        <f t="shared" si="220"/>
        <v>#DIV/0!</v>
      </c>
      <c r="K588" s="688" t="e">
        <f t="shared" si="220"/>
        <v>#DIV/0!</v>
      </c>
      <c r="L588" s="688" t="e">
        <f t="shared" si="220"/>
        <v>#DIV/0!</v>
      </c>
      <c r="M588" s="688" t="e">
        <f t="shared" si="220"/>
        <v>#DIV/0!</v>
      </c>
      <c r="N588" s="688" t="e">
        <f t="shared" si="220"/>
        <v>#DIV/0!</v>
      </c>
      <c r="O588" s="688" t="e">
        <f t="shared" si="220"/>
        <v>#DIV/0!</v>
      </c>
      <c r="P588" s="688" t="e">
        <f t="shared" si="220"/>
        <v>#DIV/0!</v>
      </c>
      <c r="Q588" s="689" t="e">
        <f t="shared" si="220"/>
        <v>#DIV/0!</v>
      </c>
      <c r="R588" s="283"/>
      <c r="S588" s="283"/>
      <c r="T588" s="182"/>
      <c r="U588" s="182"/>
      <c r="V588" s="182"/>
      <c r="W588" s="182"/>
      <c r="X588" s="182"/>
      <c r="Y588" s="182"/>
      <c r="Z588" s="182"/>
      <c r="AA588" s="182"/>
      <c r="AB588" s="182"/>
      <c r="AC588" s="182"/>
      <c r="AD588" s="182"/>
      <c r="AE588" s="182"/>
      <c r="AF588" s="182"/>
      <c r="AG588" s="182"/>
      <c r="AH588" s="182"/>
      <c r="AI588" s="182"/>
      <c r="AJ588" s="182"/>
      <c r="AK588" s="182"/>
      <c r="AL588" s="182"/>
      <c r="AM588" s="182"/>
      <c r="AN588" s="182"/>
      <c r="AO588" s="182"/>
      <c r="AP588" s="182"/>
      <c r="AQ588" s="182"/>
      <c r="AR588" s="182"/>
      <c r="AS588" s="182"/>
      <c r="AT588" s="182"/>
      <c r="AU588" s="182"/>
      <c r="AV588" s="182"/>
      <c r="AW588" s="182"/>
      <c r="AX588" s="182"/>
      <c r="AY588" s="182"/>
      <c r="AZ588" s="182"/>
      <c r="BA588" s="182"/>
      <c r="BB588" s="182"/>
      <c r="BC588" s="182"/>
      <c r="BD588" s="182"/>
      <c r="BE588" s="182"/>
    </row>
    <row r="589" spans="3:57">
      <c r="C589" s="694"/>
      <c r="D589" s="695"/>
      <c r="E589" s="695"/>
      <c r="F589" s="695"/>
      <c r="G589" s="695"/>
      <c r="H589" s="695"/>
      <c r="I589" s="695"/>
      <c r="J589" s="695"/>
      <c r="K589" s="695"/>
      <c r="L589" s="695"/>
      <c r="M589" s="695"/>
      <c r="N589" s="695"/>
      <c r="O589" s="695"/>
      <c r="P589" s="695"/>
      <c r="Q589" s="696"/>
      <c r="R589" s="283"/>
      <c r="S589" s="283"/>
      <c r="T589" s="182"/>
      <c r="U589" s="182"/>
      <c r="V589" s="182"/>
      <c r="W589" s="182"/>
      <c r="X589" s="182"/>
      <c r="Y589" s="182"/>
      <c r="Z589" s="182"/>
      <c r="AA589" s="182"/>
      <c r="AB589" s="182"/>
      <c r="AC589" s="182"/>
      <c r="AD589" s="182"/>
      <c r="AE589" s="182"/>
      <c r="AF589" s="182"/>
      <c r="AG589" s="182"/>
      <c r="AH589" s="182"/>
      <c r="AI589" s="182"/>
      <c r="AJ589" s="182"/>
      <c r="AK589" s="182"/>
      <c r="AL589" s="182"/>
      <c r="AM589" s="182"/>
      <c r="AN589" s="182"/>
      <c r="AO589" s="182"/>
      <c r="AP589" s="182"/>
      <c r="AQ589" s="182"/>
      <c r="AR589" s="182"/>
      <c r="AS589" s="182"/>
      <c r="AT589" s="182"/>
      <c r="AU589" s="182"/>
      <c r="AV589" s="182"/>
      <c r="AW589" s="182"/>
      <c r="AX589" s="182"/>
      <c r="AY589" s="182"/>
      <c r="AZ589" s="182"/>
      <c r="BA589" s="182"/>
      <c r="BB589" s="182"/>
      <c r="BC589" s="182"/>
      <c r="BD589" s="182"/>
      <c r="BE589" s="182"/>
    </row>
    <row r="590" spans="3:57" ht="16">
      <c r="C590" s="664" t="s">
        <v>208</v>
      </c>
      <c r="D590" s="324"/>
      <c r="E590" s="324"/>
      <c r="F590" s="324">
        <f t="shared" ref="F590:Q590" si="221">-SUM(F615,F641,F724)</f>
        <v>0</v>
      </c>
      <c r="G590" s="324" t="e">
        <f t="shared" si="221"/>
        <v>#DIV/0!</v>
      </c>
      <c r="H590" s="324" t="e">
        <f t="shared" si="221"/>
        <v>#DIV/0!</v>
      </c>
      <c r="I590" s="324" t="e">
        <f t="shared" si="221"/>
        <v>#DIV/0!</v>
      </c>
      <c r="J590" s="324" t="e">
        <f t="shared" si="221"/>
        <v>#DIV/0!</v>
      </c>
      <c r="K590" s="324" t="e">
        <f t="shared" si="221"/>
        <v>#DIV/0!</v>
      </c>
      <c r="L590" s="324" t="e">
        <f t="shared" si="221"/>
        <v>#DIV/0!</v>
      </c>
      <c r="M590" s="324" t="e">
        <f t="shared" si="221"/>
        <v>#DIV/0!</v>
      </c>
      <c r="N590" s="324" t="e">
        <f t="shared" si="221"/>
        <v>#DIV/0!</v>
      </c>
      <c r="O590" s="324" t="e">
        <f t="shared" si="221"/>
        <v>#DIV/0!</v>
      </c>
      <c r="P590" s="324" t="e">
        <f t="shared" si="221"/>
        <v>#DIV/0!</v>
      </c>
      <c r="Q590" s="677" t="e">
        <f t="shared" si="221"/>
        <v>#DIV/0!</v>
      </c>
      <c r="R590" s="283"/>
      <c r="S590" s="283"/>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c r="AR590" s="182"/>
      <c r="AS590" s="182"/>
      <c r="AT590" s="182"/>
      <c r="AU590" s="182"/>
      <c r="AV590" s="182"/>
      <c r="AW590" s="182"/>
      <c r="AX590" s="182"/>
      <c r="AY590" s="182"/>
      <c r="AZ590" s="182"/>
      <c r="BA590" s="182"/>
      <c r="BB590" s="182"/>
      <c r="BC590" s="182"/>
      <c r="BD590" s="182"/>
      <c r="BE590" s="182"/>
    </row>
    <row r="591" spans="3:57" ht="16">
      <c r="C591" s="686" t="s">
        <v>209</v>
      </c>
      <c r="D591" s="687"/>
      <c r="E591" s="688"/>
      <c r="F591" s="688" t="e">
        <f t="shared" ref="F591:Q591" si="222">F590/F582</f>
        <v>#DIV/0!</v>
      </c>
      <c r="G591" s="688" t="e">
        <f t="shared" si="222"/>
        <v>#DIV/0!</v>
      </c>
      <c r="H591" s="688" t="e">
        <f t="shared" si="222"/>
        <v>#DIV/0!</v>
      </c>
      <c r="I591" s="688" t="e">
        <f t="shared" si="222"/>
        <v>#DIV/0!</v>
      </c>
      <c r="J591" s="688" t="e">
        <f t="shared" si="222"/>
        <v>#DIV/0!</v>
      </c>
      <c r="K591" s="688" t="e">
        <f t="shared" si="222"/>
        <v>#DIV/0!</v>
      </c>
      <c r="L591" s="688" t="e">
        <f t="shared" si="222"/>
        <v>#DIV/0!</v>
      </c>
      <c r="M591" s="688" t="e">
        <f t="shared" si="222"/>
        <v>#DIV/0!</v>
      </c>
      <c r="N591" s="688" t="e">
        <f t="shared" si="222"/>
        <v>#DIV/0!</v>
      </c>
      <c r="O591" s="688" t="e">
        <f t="shared" si="222"/>
        <v>#DIV/0!</v>
      </c>
      <c r="P591" s="688" t="e">
        <f t="shared" si="222"/>
        <v>#DIV/0!</v>
      </c>
      <c r="Q591" s="689" t="e">
        <f t="shared" si="222"/>
        <v>#DIV/0!</v>
      </c>
      <c r="R591" s="283"/>
      <c r="S591" s="283"/>
      <c r="T591" s="182"/>
      <c r="U591" s="182"/>
      <c r="V591" s="182"/>
      <c r="W591" s="182"/>
      <c r="X591" s="182"/>
      <c r="Y591" s="182"/>
      <c r="Z591" s="182"/>
      <c r="AA591" s="182"/>
      <c r="AB591" s="182"/>
      <c r="AC591" s="182"/>
      <c r="AD591" s="182"/>
      <c r="AE591" s="182"/>
      <c r="AF591" s="182"/>
      <c r="AG591" s="182"/>
      <c r="AH591" s="182"/>
      <c r="AI591" s="182"/>
      <c r="AJ591" s="182"/>
      <c r="AK591" s="182"/>
      <c r="AL591" s="182"/>
      <c r="AM591" s="182"/>
      <c r="AN591" s="182"/>
      <c r="AO591" s="182"/>
      <c r="AP591" s="182"/>
      <c r="AQ591" s="182"/>
      <c r="AR591" s="182"/>
      <c r="AS591" s="182"/>
      <c r="AT591" s="182"/>
      <c r="AU591" s="182"/>
      <c r="AV591" s="182"/>
      <c r="AW591" s="182"/>
      <c r="AX591" s="182"/>
      <c r="AY591" s="182"/>
      <c r="AZ591" s="182"/>
      <c r="BA591" s="182"/>
      <c r="BB591" s="182"/>
      <c r="BC591" s="182"/>
      <c r="BD591" s="182"/>
      <c r="BE591" s="182"/>
    </row>
    <row r="592" spans="3:57">
      <c r="C592" s="697"/>
      <c r="D592" s="324"/>
      <c r="E592" s="324"/>
      <c r="F592" s="324"/>
      <c r="G592" s="324"/>
      <c r="H592" s="324"/>
      <c r="I592" s="324"/>
      <c r="J592" s="324"/>
      <c r="K592" s="324"/>
      <c r="L592" s="324"/>
      <c r="M592" s="324"/>
      <c r="N592" s="324"/>
      <c r="O592" s="324"/>
      <c r="P592" s="324"/>
      <c r="Q592" s="677"/>
      <c r="R592" s="324"/>
      <c r="S592" s="324"/>
      <c r="T592" s="336"/>
      <c r="U592" s="336"/>
      <c r="V592" s="336"/>
      <c r="W592" s="336"/>
      <c r="X592" s="336"/>
      <c r="Y592" s="336"/>
      <c r="Z592" s="336"/>
      <c r="AA592" s="336"/>
      <c r="AB592" s="336"/>
      <c r="AC592" s="336"/>
      <c r="AD592" s="336"/>
      <c r="AE592" s="336"/>
      <c r="AF592" s="336"/>
      <c r="AG592" s="336"/>
      <c r="AH592" s="336"/>
      <c r="AI592" s="336"/>
      <c r="AJ592" s="336"/>
      <c r="AK592" s="336"/>
      <c r="AL592" s="336"/>
      <c r="AM592" s="336"/>
      <c r="AN592" s="336"/>
      <c r="AO592" s="336"/>
      <c r="AP592" s="336"/>
      <c r="AQ592" s="336"/>
      <c r="AR592" s="336"/>
      <c r="AS592" s="336"/>
      <c r="AT592" s="336"/>
      <c r="AU592" s="336"/>
      <c r="AV592" s="336"/>
      <c r="AW592" s="336"/>
      <c r="AX592" s="336"/>
      <c r="AY592" s="336"/>
      <c r="AZ592" s="336"/>
      <c r="BA592" s="336"/>
      <c r="BB592" s="336"/>
      <c r="BC592" s="336"/>
      <c r="BD592" s="336"/>
      <c r="BE592" s="336"/>
    </row>
    <row r="593" spans="3:57" ht="16">
      <c r="C593" s="686" t="s">
        <v>210</v>
      </c>
      <c r="D593" s="687"/>
      <c r="E593" s="688"/>
      <c r="F593" s="688">
        <f>SUMIF($C$600:E$600,"="&amp;F581,$C$605:E$605)+SUMIF($C$621:E$621,"="&amp;F581,$C$626:E$626)+SUMIF($C$684:E$684,"="&amp;F581,$C$689:E$689)</f>
        <v>0</v>
      </c>
      <c r="G593" s="688">
        <f>SUMIF($C$600:F$600,"="&amp;G581,$C$605:F$605)+SUMIF($C$621:F$621,"="&amp;G581,$C$626:F$626)+SUMIF($C$684:F$684,"="&amp;G581,$C$689:F$689)</f>
        <v>0</v>
      </c>
      <c r="H593" s="688">
        <f>SUMIF($C$600:G$600,"="&amp;H581,$C$605:G$605)+SUMIF($C$621:G$621,"="&amp;H581,$C$626:G$626)+SUMIF($C$684:G$684,"="&amp;H581,$C$689:G$689)</f>
        <v>0</v>
      </c>
      <c r="I593" s="688">
        <f>SUMIF($C$600:H$600,"="&amp;I581,$C$605:H$605)+SUMIF($C$621:H$621,"="&amp;I581,$C$626:H$626)+SUMIF($C$684:H$684,"="&amp;I581,$C$689:H$689)</f>
        <v>0</v>
      </c>
      <c r="J593" s="688">
        <f>SUMIF($C$600:I$600,"="&amp;J581,$C$605:I$605)+SUMIF($C$621:I$621,"="&amp;J581,$C$626:I$626)+SUMIF($C$684:I$684,"="&amp;J581,$C$689:I$689)</f>
        <v>0</v>
      </c>
      <c r="K593" s="688" t="e">
        <f>SUMIF($C$600:J$600,"="&amp;K581,$C$605:J$605)+SUMIF($C$621:J$621,"="&amp;K581,$C$626:J$626)+SUMIF($C$684:J$684,"="&amp;K581,$C$689:J$689)</f>
        <v>#DIV/0!</v>
      </c>
      <c r="L593" s="688" t="e">
        <f>SUMIF($C$600:K$600,"="&amp;L581,$C$605:K$605)+SUMIF($C$621:K$621,"="&amp;L581,$C$626:K$626)+SUMIF($C$684:K$684,"="&amp;L581,$C$689:K$689)</f>
        <v>#DIV/0!</v>
      </c>
      <c r="M593" s="688" t="e">
        <f>SUMIF($C$600:L$600,"="&amp;M581,$C$605:L$605)+SUMIF($C$621:L$621,"="&amp;M581,$C$626:L$626)+SUMIF($C$684:L$684,"="&amp;M581,$C$689:L$689)</f>
        <v>#DIV/0!</v>
      </c>
      <c r="N593" s="688" t="e">
        <f>SUMIF($C$600:M$600,"="&amp;N581,$C$605:M$605)+SUMIF($C$621:M$621,"="&amp;N581,$C$626:M$626)+SUMIF($C$684:M$684,"="&amp;N581,$C$689:M$689)</f>
        <v>#DIV/0!</v>
      </c>
      <c r="O593" s="688" t="e">
        <f>SUMIF($C$600:N$600,"="&amp;O581,$C$605:N$605)+SUMIF($C$621:N$621,"="&amp;O581,$C$626:N$626)+SUMIF($C$684:N$684,"="&amp;O581,$C$689:N$689)</f>
        <v>#DIV/0!</v>
      </c>
      <c r="P593" s="688" t="e">
        <f>SUMIF($C$600:O$600,"="&amp;P581,$C$605:O$605)+SUMIF($C$621:O$621,"="&amp;P581,$C$626:O$626)+SUMIF($C$684:O$684,"="&amp;P581,$C$689:O$689)</f>
        <v>#DIV/0!</v>
      </c>
      <c r="Q593" s="689" t="e">
        <f>SUMIF($C$600:P$600,"="&amp;Q581,$C$605:P$605)+SUMIF($C$621:P$621,"="&amp;Q581,$C$626:P$626)+SUMIF($C$684:P$684,"="&amp;Q581,$C$689:P$689)</f>
        <v>#DIV/0!</v>
      </c>
      <c r="R593" s="332"/>
      <c r="S593" s="332"/>
      <c r="T593" s="333"/>
      <c r="U593" s="333"/>
      <c r="V593" s="333"/>
      <c r="W593" s="333"/>
      <c r="X593" s="333"/>
      <c r="Y593" s="333"/>
      <c r="Z593" s="333"/>
      <c r="AA593" s="333"/>
      <c r="AB593" s="333"/>
      <c r="AC593" s="333"/>
      <c r="AD593" s="333"/>
      <c r="AE593" s="333"/>
      <c r="AF593" s="333"/>
      <c r="AG593" s="333"/>
      <c r="AH593" s="333"/>
      <c r="AI593" s="333"/>
      <c r="AJ593" s="333"/>
      <c r="AK593" s="333"/>
      <c r="AL593" s="333"/>
      <c r="AM593" s="333"/>
      <c r="AN593" s="333"/>
      <c r="AO593" s="333"/>
      <c r="AP593" s="333"/>
      <c r="AQ593" s="333"/>
      <c r="AR593" s="333"/>
      <c r="AS593" s="333"/>
      <c r="AT593" s="333"/>
      <c r="AU593" s="333"/>
      <c r="AV593" s="333"/>
      <c r="AW593" s="333"/>
      <c r="AX593" s="333"/>
      <c r="AY593" s="333"/>
      <c r="AZ593" s="333"/>
      <c r="BA593" s="333"/>
      <c r="BB593" s="333"/>
      <c r="BC593" s="333"/>
      <c r="BD593" s="333"/>
      <c r="BE593" s="333"/>
    </row>
    <row r="594" spans="3:57" ht="16">
      <c r="C594" s="664" t="s">
        <v>175</v>
      </c>
      <c r="D594" s="324"/>
      <c r="E594" s="324"/>
      <c r="F594" s="324">
        <f t="shared" ref="F594:Q594" si="223">F593*F582</f>
        <v>0</v>
      </c>
      <c r="G594" s="324">
        <f t="shared" si="223"/>
        <v>0</v>
      </c>
      <c r="H594" s="324">
        <f t="shared" si="223"/>
        <v>0</v>
      </c>
      <c r="I594" s="324">
        <f t="shared" si="223"/>
        <v>0</v>
      </c>
      <c r="J594" s="324">
        <f t="shared" si="223"/>
        <v>0</v>
      </c>
      <c r="K594" s="324" t="e">
        <f t="shared" si="223"/>
        <v>#DIV/0!</v>
      </c>
      <c r="L594" s="324" t="e">
        <f t="shared" si="223"/>
        <v>#DIV/0!</v>
      </c>
      <c r="M594" s="324" t="e">
        <f t="shared" si="223"/>
        <v>#DIV/0!</v>
      </c>
      <c r="N594" s="324" t="e">
        <f t="shared" si="223"/>
        <v>#DIV/0!</v>
      </c>
      <c r="O594" s="324" t="e">
        <f t="shared" si="223"/>
        <v>#DIV/0!</v>
      </c>
      <c r="P594" s="324" t="e">
        <f t="shared" si="223"/>
        <v>#DIV/0!</v>
      </c>
      <c r="Q594" s="677" t="e">
        <f t="shared" si="223"/>
        <v>#DIV/0!</v>
      </c>
      <c r="R594" s="324"/>
      <c r="S594" s="283"/>
      <c r="T594" s="182"/>
      <c r="U594" s="182"/>
      <c r="V594" s="182"/>
      <c r="W594" s="182"/>
      <c r="X594" s="182"/>
      <c r="Y594" s="182"/>
      <c r="Z594" s="182"/>
      <c r="AA594" s="182"/>
      <c r="AB594" s="182"/>
      <c r="AC594" s="182"/>
      <c r="AD594" s="182"/>
      <c r="AE594" s="182"/>
      <c r="AF594" s="182"/>
      <c r="AG594" s="182"/>
      <c r="AH594" s="182"/>
      <c r="AI594" s="182"/>
      <c r="AJ594" s="182"/>
      <c r="AK594" s="182"/>
      <c r="AL594" s="182"/>
      <c r="AM594" s="182"/>
      <c r="AN594" s="182"/>
      <c r="AO594" s="182"/>
      <c r="AP594" s="182"/>
      <c r="AQ594" s="182"/>
      <c r="AR594" s="182"/>
      <c r="AS594" s="182"/>
      <c r="AT594" s="182"/>
      <c r="AU594" s="182"/>
      <c r="AV594" s="182"/>
      <c r="AW594" s="182"/>
      <c r="AX594" s="182"/>
      <c r="AY594" s="182"/>
      <c r="AZ594" s="182"/>
      <c r="BA594" s="182"/>
      <c r="BB594" s="182"/>
      <c r="BC594" s="182"/>
      <c r="BD594" s="182"/>
      <c r="BE594" s="182"/>
    </row>
    <row r="595" spans="3:57">
      <c r="C595" s="664"/>
      <c r="D595" s="324"/>
      <c r="E595" s="283"/>
      <c r="F595" s="283"/>
      <c r="G595" s="283"/>
      <c r="H595" s="283"/>
      <c r="I595" s="283"/>
      <c r="J595" s="283"/>
      <c r="K595" s="283"/>
      <c r="L595" s="283"/>
      <c r="M595" s="283"/>
      <c r="N595" s="283"/>
      <c r="O595" s="283"/>
      <c r="P595" s="283"/>
      <c r="Q595" s="667"/>
      <c r="R595" s="283"/>
      <c r="S595" s="283"/>
      <c r="T595" s="182"/>
      <c r="U595" s="182"/>
      <c r="V595" s="182"/>
      <c r="W595" s="182"/>
      <c r="X595" s="182"/>
      <c r="Y595" s="182"/>
      <c r="Z595" s="182"/>
      <c r="AA595" s="182"/>
      <c r="AB595" s="182"/>
      <c r="AC595" s="182"/>
      <c r="AD595" s="182"/>
      <c r="AE595" s="182"/>
      <c r="AF595" s="182"/>
      <c r="AG595" s="182"/>
      <c r="AH595" s="182"/>
      <c r="AI595" s="182"/>
      <c r="AJ595" s="182"/>
      <c r="AK595" s="182"/>
      <c r="AL595" s="182"/>
      <c r="AM595" s="182"/>
      <c r="AN595" s="182"/>
      <c r="AO595" s="182"/>
      <c r="AP595" s="182"/>
      <c r="AQ595" s="182"/>
      <c r="AR595" s="182"/>
      <c r="AS595" s="182"/>
      <c r="AT595" s="182"/>
      <c r="AU595" s="182"/>
      <c r="AV595" s="182"/>
      <c r="AW595" s="182"/>
      <c r="AX595" s="182"/>
      <c r="AY595" s="182"/>
      <c r="AZ595" s="182"/>
      <c r="BA595" s="182"/>
      <c r="BB595" s="182"/>
      <c r="BC595" s="182"/>
      <c r="BD595" s="182"/>
      <c r="BE595" s="182"/>
    </row>
    <row r="596" spans="3:57">
      <c r="C596" s="664"/>
      <c r="D596" s="182"/>
      <c r="E596" s="182"/>
      <c r="F596" s="182"/>
      <c r="G596" s="182"/>
      <c r="H596" s="182"/>
      <c r="I596" s="182"/>
      <c r="J596" s="182"/>
      <c r="K596" s="182"/>
      <c r="L596" s="182"/>
      <c r="M596" s="182"/>
      <c r="N596" s="182"/>
      <c r="O596" s="182"/>
      <c r="P596" s="182"/>
      <c r="Q596" s="678"/>
      <c r="R596" s="182"/>
      <c r="S596" s="182"/>
      <c r="T596" s="182"/>
      <c r="U596" s="182"/>
      <c r="V596" s="182"/>
      <c r="W596" s="182"/>
      <c r="X596" s="182"/>
      <c r="Y596" s="182"/>
      <c r="Z596" s="182"/>
      <c r="AA596" s="182"/>
      <c r="AB596" s="182"/>
      <c r="AC596" s="182"/>
      <c r="AD596" s="182"/>
      <c r="AE596" s="182"/>
      <c r="AF596" s="182"/>
      <c r="AG596" s="182"/>
      <c r="AH596" s="182"/>
      <c r="AI596" s="182"/>
      <c r="AJ596" s="182"/>
      <c r="AK596" s="182"/>
      <c r="AL596" s="182"/>
      <c r="AM596" s="182"/>
      <c r="AN596" s="182"/>
      <c r="AO596" s="182"/>
      <c r="AP596" s="182"/>
      <c r="AQ596" s="182"/>
      <c r="AR596" s="182"/>
      <c r="AS596" s="182"/>
      <c r="AT596" s="182"/>
      <c r="AU596" s="182"/>
      <c r="AV596" s="182"/>
      <c r="AW596" s="182"/>
      <c r="AX596" s="182"/>
      <c r="AY596" s="182"/>
      <c r="AZ596" s="182"/>
      <c r="BA596" s="182"/>
      <c r="BB596" s="182"/>
      <c r="BC596" s="182"/>
      <c r="BD596" s="182"/>
      <c r="BE596" s="182"/>
    </row>
    <row r="597" spans="3:57">
      <c r="C597" s="701">
        <v>5</v>
      </c>
      <c r="D597" s="599">
        <v>2022</v>
      </c>
      <c r="E597" s="599">
        <v>2023</v>
      </c>
      <c r="F597" s="599">
        <v>2024</v>
      </c>
      <c r="G597" s="599">
        <v>2025</v>
      </c>
      <c r="H597" s="599">
        <v>2026</v>
      </c>
      <c r="I597" s="599">
        <v>2027</v>
      </c>
      <c r="J597" s="599">
        <v>2028</v>
      </c>
      <c r="K597" s="599">
        <v>2029</v>
      </c>
      <c r="L597" s="599">
        <v>2030</v>
      </c>
      <c r="M597" s="599">
        <v>2031</v>
      </c>
      <c r="N597" s="599">
        <v>2032</v>
      </c>
      <c r="O597" s="599">
        <v>2033</v>
      </c>
      <c r="P597" s="599">
        <v>2034</v>
      </c>
      <c r="Q597" s="702">
        <v>2035</v>
      </c>
      <c r="R597" s="182"/>
      <c r="S597" s="182"/>
      <c r="T597" s="182"/>
      <c r="U597" s="182"/>
      <c r="V597" s="182"/>
      <c r="W597" s="182"/>
      <c r="X597" s="182"/>
      <c r="Y597" s="182"/>
      <c r="Z597" s="182"/>
      <c r="AA597" s="182"/>
      <c r="AB597" s="182"/>
      <c r="AC597" s="182"/>
      <c r="AD597" s="182"/>
      <c r="AE597" s="182"/>
      <c r="AF597" s="182"/>
      <c r="AG597" s="182"/>
      <c r="AH597" s="182"/>
      <c r="AI597" s="182"/>
      <c r="AJ597" s="182"/>
      <c r="AK597" s="182"/>
      <c r="AL597" s="182"/>
      <c r="AM597" s="182"/>
      <c r="AN597" s="182"/>
      <c r="AO597" s="182"/>
      <c r="AP597" s="182"/>
      <c r="AQ597" s="182"/>
      <c r="AR597" s="182"/>
      <c r="AS597" s="182"/>
      <c r="AT597" s="182"/>
      <c r="AU597" s="182"/>
      <c r="AV597" s="182"/>
      <c r="AW597" s="182"/>
      <c r="AX597" s="182"/>
      <c r="AY597" s="182"/>
      <c r="AZ597" s="182"/>
      <c r="BA597" s="182"/>
      <c r="BB597" s="182"/>
      <c r="BC597" s="182"/>
      <c r="BD597" s="182"/>
      <c r="BE597" s="182"/>
    </row>
    <row r="598" spans="3:57" ht="16">
      <c r="C598" s="664" t="s">
        <v>177</v>
      </c>
      <c r="D598" s="271"/>
      <c r="E598" s="271"/>
      <c r="F598" s="271">
        <f>'Deuda a emitir'!F75</f>
        <v>0</v>
      </c>
      <c r="G598" s="271">
        <f>'Deuda a emitir'!G75</f>
        <v>0</v>
      </c>
      <c r="H598" s="271">
        <f>'Deuda a emitir'!H75</f>
        <v>0</v>
      </c>
      <c r="I598" s="271">
        <f>'Deuda a emitir'!I75</f>
        <v>0</v>
      </c>
      <c r="J598" s="271">
        <f>'Deuda a emitir'!J75</f>
        <v>0</v>
      </c>
      <c r="K598" s="271">
        <f>'Deuda a emitir'!K75</f>
        <v>0</v>
      </c>
      <c r="L598" s="271">
        <f>'Deuda a emitir'!L75</f>
        <v>0</v>
      </c>
      <c r="M598" s="271">
        <f>'Deuda a emitir'!M75</f>
        <v>0</v>
      </c>
      <c r="N598" s="271">
        <f>'Deuda a emitir'!N75</f>
        <v>0</v>
      </c>
      <c r="O598" s="271">
        <f>'Deuda a emitir'!O75</f>
        <v>0</v>
      </c>
      <c r="P598" s="271">
        <f>'Deuda a emitir'!P75</f>
        <v>0</v>
      </c>
      <c r="Q598" s="710">
        <f>'Deuda a emitir'!Q75</f>
        <v>0</v>
      </c>
      <c r="R598" s="245"/>
      <c r="S598" s="182"/>
      <c r="T598" s="182"/>
      <c r="U598" s="182"/>
      <c r="V598" s="182"/>
      <c r="W598" s="182"/>
      <c r="X598" s="182"/>
      <c r="Y598" s="182"/>
      <c r="Z598" s="182"/>
      <c r="AA598" s="182"/>
      <c r="AB598" s="182"/>
      <c r="AC598" s="182"/>
      <c r="AD598" s="182"/>
      <c r="AE598" s="182"/>
      <c r="AF598" s="182"/>
      <c r="AG598" s="182"/>
      <c r="AH598" s="182"/>
      <c r="AI598" s="182"/>
      <c r="AJ598" s="182"/>
      <c r="AK598" s="182"/>
      <c r="AL598" s="182"/>
      <c r="AM598" s="182"/>
      <c r="AN598" s="182"/>
      <c r="AO598" s="182"/>
      <c r="AP598" s="182"/>
      <c r="AQ598" s="182"/>
      <c r="AR598" s="182"/>
      <c r="AS598" s="182"/>
      <c r="AT598" s="182"/>
      <c r="AU598" s="182"/>
      <c r="AV598" s="182"/>
      <c r="AW598" s="182"/>
      <c r="AX598" s="182"/>
      <c r="AY598" s="182"/>
      <c r="AZ598" s="182"/>
      <c r="BA598" s="182"/>
      <c r="BB598" s="182"/>
      <c r="BC598" s="182"/>
      <c r="BD598" s="182"/>
      <c r="BE598" s="182"/>
    </row>
    <row r="599" spans="3:57" ht="16">
      <c r="C599" s="664" t="s">
        <v>179</v>
      </c>
      <c r="D599" s="328"/>
      <c r="E599" s="328"/>
      <c r="F599" s="328">
        <f>'Deuda a emitir'!F76</f>
        <v>5</v>
      </c>
      <c r="G599" s="328">
        <f>'Deuda a emitir'!G76</f>
        <v>5</v>
      </c>
      <c r="H599" s="328">
        <f>'Deuda a emitir'!H76</f>
        <v>5</v>
      </c>
      <c r="I599" s="328">
        <f>'Deuda a emitir'!I76</f>
        <v>5</v>
      </c>
      <c r="J599" s="328">
        <f>'Deuda a emitir'!J76</f>
        <v>5</v>
      </c>
      <c r="K599" s="328">
        <f>'Deuda a emitir'!K76</f>
        <v>5</v>
      </c>
      <c r="L599" s="328">
        <f>'Deuda a emitir'!L76</f>
        <v>5</v>
      </c>
      <c r="M599" s="328">
        <f>'Deuda a emitir'!M76</f>
        <v>5</v>
      </c>
      <c r="N599" s="328">
        <f>'Deuda a emitir'!N76</f>
        <v>5</v>
      </c>
      <c r="O599" s="328">
        <f>'Deuda a emitir'!O76</f>
        <v>5</v>
      </c>
      <c r="P599" s="328">
        <f>'Deuda a emitir'!P76</f>
        <v>5</v>
      </c>
      <c r="Q599" s="681">
        <f>'Deuda a emitir'!Q76</f>
        <v>5</v>
      </c>
      <c r="R599" s="182"/>
      <c r="S599" s="182"/>
      <c r="T599" s="182"/>
      <c r="U599" s="182"/>
      <c r="V599" s="182"/>
      <c r="W599" s="182"/>
      <c r="X599" s="182"/>
      <c r="Y599" s="182"/>
      <c r="Z599" s="182"/>
      <c r="AA599" s="182"/>
      <c r="AB599" s="182"/>
      <c r="AC599" s="182"/>
      <c r="AD599" s="182"/>
      <c r="AE599" s="182"/>
      <c r="AF599" s="182"/>
      <c r="AG599" s="182"/>
      <c r="AH599" s="182"/>
      <c r="AI599" s="182"/>
      <c r="AJ599" s="182"/>
      <c r="AK599" s="182"/>
      <c r="AL599" s="182"/>
      <c r="AM599" s="182"/>
      <c r="AN599" s="182"/>
      <c r="AO599" s="182"/>
      <c r="AP599" s="182"/>
      <c r="AQ599" s="182"/>
      <c r="AR599" s="182"/>
      <c r="AS599" s="182"/>
      <c r="AT599" s="182"/>
      <c r="AU599" s="182"/>
      <c r="AV599" s="182"/>
      <c r="AW599" s="182"/>
      <c r="AX599" s="182"/>
      <c r="AY599" s="182"/>
      <c r="AZ599" s="182"/>
      <c r="BA599" s="182"/>
      <c r="BB599" s="182"/>
      <c r="BC599" s="182"/>
      <c r="BD599" s="182"/>
      <c r="BE599" s="182"/>
    </row>
    <row r="600" spans="3:57" ht="16">
      <c r="C600" s="664" t="s">
        <v>72</v>
      </c>
      <c r="D600" s="328"/>
      <c r="E600" s="328"/>
      <c r="F600" s="328">
        <f t="shared" ref="F600:Q600" si="224">F597+F599</f>
        <v>2029</v>
      </c>
      <c r="G600" s="328">
        <f t="shared" si="224"/>
        <v>2030</v>
      </c>
      <c r="H600" s="328">
        <f t="shared" si="224"/>
        <v>2031</v>
      </c>
      <c r="I600" s="328">
        <f t="shared" si="224"/>
        <v>2032</v>
      </c>
      <c r="J600" s="328">
        <f t="shared" si="224"/>
        <v>2033</v>
      </c>
      <c r="K600" s="328">
        <f t="shared" si="224"/>
        <v>2034</v>
      </c>
      <c r="L600" s="328">
        <f t="shared" si="224"/>
        <v>2035</v>
      </c>
      <c r="M600" s="328">
        <f t="shared" si="224"/>
        <v>2036</v>
      </c>
      <c r="N600" s="328">
        <f t="shared" si="224"/>
        <v>2037</v>
      </c>
      <c r="O600" s="328">
        <f t="shared" si="224"/>
        <v>2038</v>
      </c>
      <c r="P600" s="328">
        <f t="shared" si="224"/>
        <v>2039</v>
      </c>
      <c r="Q600" s="681">
        <f t="shared" si="224"/>
        <v>2040</v>
      </c>
      <c r="R600" s="182"/>
      <c r="S600" s="182"/>
      <c r="T600" s="182"/>
      <c r="U600" s="182"/>
      <c r="V600" s="182"/>
      <c r="W600" s="182"/>
      <c r="X600" s="182"/>
      <c r="Y600" s="182"/>
      <c r="Z600" s="182"/>
      <c r="AA600" s="182"/>
      <c r="AB600" s="182"/>
      <c r="AC600" s="182"/>
      <c r="AD600" s="182"/>
      <c r="AE600" s="182"/>
      <c r="AF600" s="182"/>
      <c r="AG600" s="182"/>
      <c r="AH600" s="182"/>
      <c r="AI600" s="182"/>
      <c r="AJ600" s="182"/>
      <c r="AK600" s="182"/>
      <c r="AL600" s="182"/>
      <c r="AM600" s="182"/>
      <c r="AN600" s="182"/>
      <c r="AO600" s="182"/>
      <c r="AP600" s="182"/>
      <c r="AQ600" s="182"/>
      <c r="AR600" s="182"/>
      <c r="AS600" s="182"/>
      <c r="AT600" s="182"/>
      <c r="AU600" s="182"/>
      <c r="AV600" s="182"/>
      <c r="AW600" s="182"/>
      <c r="AX600" s="182"/>
      <c r="AY600" s="182"/>
      <c r="AZ600" s="182"/>
      <c r="BA600" s="182"/>
      <c r="BB600" s="182"/>
      <c r="BC600" s="182"/>
      <c r="BD600" s="182"/>
      <c r="BE600" s="182"/>
    </row>
    <row r="601" spans="3:57" ht="16">
      <c r="C601" s="664" t="s">
        <v>180</v>
      </c>
      <c r="D601" s="291"/>
      <c r="E601" s="291"/>
      <c r="F601" s="291">
        <f>'Deuda a emitir'!F70</f>
        <v>0</v>
      </c>
      <c r="G601" s="291">
        <f>'Deuda a emitir'!G70</f>
        <v>0</v>
      </c>
      <c r="H601" s="291">
        <f>'Deuda a emitir'!H70</f>
        <v>0</v>
      </c>
      <c r="I601" s="291">
        <f>'Deuda a emitir'!I70</f>
        <v>0</v>
      </c>
      <c r="J601" s="291">
        <f>'Deuda a emitir'!J70</f>
        <v>0</v>
      </c>
      <c r="K601" s="291">
        <f>'Deuda a emitir'!K70</f>
        <v>0</v>
      </c>
      <c r="L601" s="291">
        <f>'Deuda a emitir'!L70</f>
        <v>0</v>
      </c>
      <c r="M601" s="291">
        <f>'Deuda a emitir'!M70</f>
        <v>0</v>
      </c>
      <c r="N601" s="291">
        <f>'Deuda a emitir'!N70</f>
        <v>0</v>
      </c>
      <c r="O601" s="291">
        <f>'Deuda a emitir'!O70</f>
        <v>0</v>
      </c>
      <c r="P601" s="291">
        <f>'Deuda a emitir'!P70</f>
        <v>0</v>
      </c>
      <c r="Q601" s="666">
        <f>'Deuda a emitir'!Q70</f>
        <v>0</v>
      </c>
      <c r="R601" s="182"/>
      <c r="S601" s="182"/>
      <c r="T601" s="182"/>
      <c r="U601" s="182"/>
      <c r="V601" s="182"/>
      <c r="W601" s="182"/>
      <c r="X601" s="182"/>
      <c r="Y601" s="182"/>
      <c r="Z601" s="182"/>
      <c r="AA601" s="182"/>
      <c r="AB601" s="182"/>
      <c r="AC601" s="182"/>
      <c r="AD601" s="182"/>
      <c r="AE601" s="182"/>
      <c r="AF601" s="182"/>
      <c r="AG601" s="182"/>
      <c r="AH601" s="182"/>
      <c r="AI601" s="182"/>
      <c r="AJ601" s="182"/>
      <c r="AK601" s="182"/>
      <c r="AL601" s="182"/>
      <c r="AM601" s="182"/>
      <c r="AN601" s="182"/>
      <c r="AO601" s="182"/>
      <c r="AP601" s="182"/>
      <c r="AQ601" s="182"/>
      <c r="AR601" s="182"/>
      <c r="AS601" s="182"/>
      <c r="AT601" s="182"/>
      <c r="AU601" s="182"/>
      <c r="AV601" s="182"/>
      <c r="AW601" s="182"/>
      <c r="AX601" s="182"/>
      <c r="AY601" s="182"/>
      <c r="AZ601" s="182"/>
      <c r="BA601" s="182"/>
      <c r="BB601" s="182"/>
      <c r="BC601" s="182"/>
      <c r="BD601" s="182"/>
      <c r="BE601" s="182"/>
    </row>
    <row r="602" spans="3:57" ht="32">
      <c r="C602" s="664" t="s">
        <v>204</v>
      </c>
      <c r="D602" s="283"/>
      <c r="E602" s="283"/>
      <c r="F602" s="283">
        <f t="shared" ref="F602:Q602" si="225">F$583*F601</f>
        <v>0</v>
      </c>
      <c r="G602" s="283" t="e">
        <f t="shared" si="225"/>
        <v>#DIV/0!</v>
      </c>
      <c r="H602" s="283" t="e">
        <f t="shared" si="225"/>
        <v>#DIV/0!</v>
      </c>
      <c r="I602" s="283" t="e">
        <f t="shared" si="225"/>
        <v>#DIV/0!</v>
      </c>
      <c r="J602" s="283" t="e">
        <f t="shared" si="225"/>
        <v>#DIV/0!</v>
      </c>
      <c r="K602" s="283" t="e">
        <f t="shared" si="225"/>
        <v>#DIV/0!</v>
      </c>
      <c r="L602" s="283" t="e">
        <f t="shared" si="225"/>
        <v>#DIV/0!</v>
      </c>
      <c r="M602" s="283" t="e">
        <f t="shared" si="225"/>
        <v>#DIV/0!</v>
      </c>
      <c r="N602" s="283" t="e">
        <f t="shared" si="225"/>
        <v>#DIV/0!</v>
      </c>
      <c r="O602" s="283" t="e">
        <f t="shared" si="225"/>
        <v>#DIV/0!</v>
      </c>
      <c r="P602" s="283" t="e">
        <f t="shared" si="225"/>
        <v>#DIV/0!</v>
      </c>
      <c r="Q602" s="667" t="e">
        <f t="shared" si="225"/>
        <v>#DIV/0!</v>
      </c>
      <c r="R602" s="182"/>
      <c r="S602" s="182"/>
      <c r="T602" s="182"/>
      <c r="U602" s="182"/>
      <c r="V602" s="182"/>
      <c r="W602" s="182"/>
      <c r="X602" s="182"/>
      <c r="Y602" s="182"/>
      <c r="Z602" s="182"/>
      <c r="AA602" s="182"/>
      <c r="AB602" s="182"/>
      <c r="AC602" s="182"/>
      <c r="AD602" s="182"/>
      <c r="AE602" s="182"/>
      <c r="AF602" s="182"/>
      <c r="AG602" s="182"/>
      <c r="AH602" s="182"/>
      <c r="AI602" s="182"/>
      <c r="AJ602" s="182"/>
      <c r="AK602" s="182"/>
      <c r="AL602" s="182"/>
      <c r="AM602" s="182"/>
      <c r="AN602" s="182"/>
      <c r="AO602" s="182"/>
      <c r="AP602" s="182"/>
      <c r="AQ602" s="182"/>
      <c r="AR602" s="182"/>
      <c r="AS602" s="182"/>
      <c r="AT602" s="182"/>
      <c r="AU602" s="182"/>
      <c r="AV602" s="182"/>
      <c r="AW602" s="182"/>
      <c r="AX602" s="182"/>
      <c r="AY602" s="182"/>
      <c r="AZ602" s="182"/>
      <c r="BA602" s="182"/>
      <c r="BB602" s="182"/>
      <c r="BC602" s="182"/>
      <c r="BD602" s="182"/>
      <c r="BE602" s="182"/>
    </row>
    <row r="603" spans="3:57" ht="32">
      <c r="C603" s="664" t="s">
        <v>171</v>
      </c>
      <c r="D603" s="283"/>
      <c r="E603" s="283"/>
      <c r="F603" s="283">
        <f>F584*F601</f>
        <v>0</v>
      </c>
      <c r="G603" s="283">
        <f>G584*G601</f>
        <v>0</v>
      </c>
      <c r="H603" s="283">
        <f>'Deuda a emitir'!H$155*H601</f>
        <v>0</v>
      </c>
      <c r="I603" s="283">
        <f>'Deuda a emitir'!I$155*I601</f>
        <v>0</v>
      </c>
      <c r="J603" s="283">
        <f>'Deuda a emitir'!J$155*J601</f>
        <v>0</v>
      </c>
      <c r="K603" s="283">
        <f>'Deuda a emitir'!K$155*K601</f>
        <v>0</v>
      </c>
      <c r="L603" s="283">
        <f>'Deuda a emitir'!L$155*L601</f>
        <v>0</v>
      </c>
      <c r="M603" s="283">
        <f>'Deuda a emitir'!M$155*M601</f>
        <v>0</v>
      </c>
      <c r="N603" s="283">
        <f>'Deuda a emitir'!N$155*N601</f>
        <v>0</v>
      </c>
      <c r="O603" s="283">
        <f>'Deuda a emitir'!O$155*O601</f>
        <v>0</v>
      </c>
      <c r="P603" s="283">
        <f>'Deuda a emitir'!P$155*P601</f>
        <v>0</v>
      </c>
      <c r="Q603" s="667">
        <f>'Deuda a emitir'!Q$155*Q601</f>
        <v>0</v>
      </c>
      <c r="R603" s="182"/>
      <c r="S603" s="182"/>
      <c r="T603" s="182"/>
      <c r="U603" s="182"/>
      <c r="V603" s="182"/>
      <c r="W603" s="182"/>
      <c r="X603" s="182"/>
      <c r="Y603" s="182"/>
      <c r="Z603" s="182"/>
      <c r="AA603" s="182"/>
      <c r="AB603" s="182"/>
      <c r="AC603" s="182"/>
      <c r="AD603" s="182"/>
      <c r="AE603" s="182"/>
      <c r="AF603" s="182"/>
      <c r="AG603" s="182"/>
      <c r="AH603" s="182"/>
      <c r="AI603" s="182"/>
      <c r="AJ603" s="182"/>
      <c r="AK603" s="182"/>
      <c r="AL603" s="182"/>
      <c r="AM603" s="182"/>
      <c r="AN603" s="182"/>
      <c r="AO603" s="182"/>
      <c r="AP603" s="182"/>
      <c r="AQ603" s="182"/>
      <c r="AR603" s="182"/>
      <c r="AS603" s="182"/>
      <c r="AT603" s="182"/>
      <c r="AU603" s="182"/>
      <c r="AV603" s="182"/>
      <c r="AW603" s="182"/>
      <c r="AX603" s="182"/>
      <c r="AY603" s="182"/>
      <c r="AZ603" s="182"/>
      <c r="BA603" s="182"/>
      <c r="BB603" s="182"/>
      <c r="BC603" s="182"/>
      <c r="BD603" s="182"/>
      <c r="BE603" s="182"/>
    </row>
    <row r="604" spans="3:57" ht="16">
      <c r="C604" s="668" t="s">
        <v>212</v>
      </c>
      <c r="D604" s="37"/>
      <c r="E604" s="37"/>
      <c r="F604" s="37">
        <f t="shared" ref="F604:P604" si="226">SUM(F602:F603)</f>
        <v>0</v>
      </c>
      <c r="G604" s="37" t="e">
        <f t="shared" si="226"/>
        <v>#DIV/0!</v>
      </c>
      <c r="H604" s="37" t="e">
        <f t="shared" si="226"/>
        <v>#DIV/0!</v>
      </c>
      <c r="I604" s="37" t="e">
        <f t="shared" si="226"/>
        <v>#DIV/0!</v>
      </c>
      <c r="J604" s="37" t="e">
        <f t="shared" si="226"/>
        <v>#DIV/0!</v>
      </c>
      <c r="K604" s="37" t="e">
        <f t="shared" si="226"/>
        <v>#DIV/0!</v>
      </c>
      <c r="L604" s="37" t="e">
        <f t="shared" si="226"/>
        <v>#DIV/0!</v>
      </c>
      <c r="M604" s="37" t="e">
        <f t="shared" si="226"/>
        <v>#DIV/0!</v>
      </c>
      <c r="N604" s="37" t="e">
        <f t="shared" si="226"/>
        <v>#DIV/0!</v>
      </c>
      <c r="O604" s="37" t="e">
        <f t="shared" si="226"/>
        <v>#DIV/0!</v>
      </c>
      <c r="P604" s="37" t="e">
        <f t="shared" si="226"/>
        <v>#DIV/0!</v>
      </c>
      <c r="Q604" s="669" t="e">
        <f t="shared" ref="Q604" si="227">SUM(Q602:Q603)</f>
        <v>#DIV/0!</v>
      </c>
      <c r="R604" s="182"/>
      <c r="S604" s="182"/>
      <c r="T604" s="182"/>
      <c r="U604" s="182"/>
      <c r="V604" s="182"/>
      <c r="W604" s="182"/>
      <c r="X604" s="182"/>
      <c r="Y604" s="182"/>
      <c r="Z604" s="182"/>
      <c r="AA604" s="182"/>
      <c r="AB604" s="182"/>
      <c r="AC604" s="182"/>
      <c r="AD604" s="182"/>
      <c r="AE604" s="182"/>
      <c r="AF604" s="182"/>
      <c r="AG604" s="182"/>
      <c r="AH604" s="182"/>
      <c r="AI604" s="182"/>
      <c r="AJ604" s="182"/>
      <c r="AK604" s="182"/>
      <c r="AL604" s="182"/>
      <c r="AM604" s="182"/>
      <c r="AN604" s="182"/>
      <c r="AO604" s="182"/>
      <c r="AP604" s="182"/>
      <c r="AQ604" s="182"/>
      <c r="AR604" s="182"/>
      <c r="AS604" s="182"/>
      <c r="AT604" s="182"/>
      <c r="AU604" s="182"/>
      <c r="AV604" s="182"/>
      <c r="AW604" s="182"/>
      <c r="AX604" s="182"/>
      <c r="AY604" s="182"/>
      <c r="AZ604" s="182"/>
      <c r="BA604" s="182"/>
      <c r="BB604" s="182"/>
      <c r="BC604" s="182"/>
      <c r="BD604" s="182"/>
      <c r="BE604" s="182"/>
    </row>
    <row r="605" spans="3:57" ht="16">
      <c r="C605" s="686" t="s">
        <v>213</v>
      </c>
      <c r="D605" s="283"/>
      <c r="E605" s="598"/>
      <c r="F605" s="598" t="e">
        <f t="shared" ref="F605:Q605" si="228">F604/F$582</f>
        <v>#DIV/0!</v>
      </c>
      <c r="G605" s="598" t="e">
        <f t="shared" si="228"/>
        <v>#DIV/0!</v>
      </c>
      <c r="H605" s="598" t="e">
        <f t="shared" si="228"/>
        <v>#DIV/0!</v>
      </c>
      <c r="I605" s="598" t="e">
        <f t="shared" si="228"/>
        <v>#DIV/0!</v>
      </c>
      <c r="J605" s="598" t="e">
        <f t="shared" si="228"/>
        <v>#DIV/0!</v>
      </c>
      <c r="K605" s="598" t="e">
        <f t="shared" si="228"/>
        <v>#DIV/0!</v>
      </c>
      <c r="L605" s="598" t="e">
        <f t="shared" si="228"/>
        <v>#DIV/0!</v>
      </c>
      <c r="M605" s="598" t="e">
        <f t="shared" si="228"/>
        <v>#DIV/0!</v>
      </c>
      <c r="N605" s="598" t="e">
        <f t="shared" si="228"/>
        <v>#DIV/0!</v>
      </c>
      <c r="O605" s="598" t="e">
        <f t="shared" si="228"/>
        <v>#DIV/0!</v>
      </c>
      <c r="P605" s="598" t="e">
        <f t="shared" si="228"/>
        <v>#DIV/0!</v>
      </c>
      <c r="Q605" s="711" t="e">
        <f t="shared" si="228"/>
        <v>#DIV/0!</v>
      </c>
      <c r="R605" s="182"/>
      <c r="S605" s="182"/>
      <c r="T605" s="182"/>
      <c r="U605" s="182"/>
      <c r="V605" s="182"/>
      <c r="W605" s="182"/>
      <c r="X605" s="182"/>
      <c r="Y605" s="182"/>
      <c r="Z605" s="182"/>
      <c r="AA605" s="182"/>
      <c r="AB605" s="182"/>
      <c r="AC605" s="182"/>
      <c r="AD605" s="182"/>
      <c r="AE605" s="182"/>
      <c r="AF605" s="182"/>
      <c r="AG605" s="182"/>
      <c r="AH605" s="182"/>
      <c r="AI605" s="182"/>
      <c r="AJ605" s="182"/>
      <c r="AK605" s="182"/>
      <c r="AL605" s="182"/>
      <c r="AM605" s="182"/>
      <c r="AN605" s="182"/>
      <c r="AO605" s="182"/>
      <c r="AP605" s="182"/>
      <c r="AQ605" s="182"/>
      <c r="AR605" s="182"/>
      <c r="AS605" s="182"/>
      <c r="AT605" s="182"/>
      <c r="AU605" s="182"/>
      <c r="AV605" s="182"/>
      <c r="AW605" s="182"/>
      <c r="AX605" s="182"/>
      <c r="AY605" s="182"/>
      <c r="AZ605" s="182"/>
      <c r="BA605" s="182"/>
      <c r="BB605" s="182"/>
      <c r="BC605" s="182"/>
      <c r="BD605" s="182"/>
      <c r="BE605" s="182"/>
    </row>
    <row r="606" spans="3:57" ht="16">
      <c r="C606" s="668" t="s">
        <v>214</v>
      </c>
      <c r="D606" s="37"/>
      <c r="E606" s="37"/>
      <c r="F606" s="37" t="e">
        <f t="shared" ref="F606:Q606" si="229">F605*HLOOKUP((F597+F599),$D581:$BA582,2,FALSE)</f>
        <v>#DIV/0!</v>
      </c>
      <c r="G606" s="37" t="e">
        <f t="shared" si="229"/>
        <v>#DIV/0!</v>
      </c>
      <c r="H606" s="37" t="e">
        <f t="shared" si="229"/>
        <v>#DIV/0!</v>
      </c>
      <c r="I606" s="37" t="e">
        <f t="shared" si="229"/>
        <v>#DIV/0!</v>
      </c>
      <c r="J606" s="37" t="e">
        <f t="shared" si="229"/>
        <v>#DIV/0!</v>
      </c>
      <c r="K606" s="37" t="e">
        <f t="shared" si="229"/>
        <v>#DIV/0!</v>
      </c>
      <c r="L606" s="37" t="e">
        <f t="shared" si="229"/>
        <v>#DIV/0!</v>
      </c>
      <c r="M606" s="37" t="e">
        <f t="shared" si="229"/>
        <v>#DIV/0!</v>
      </c>
      <c r="N606" s="37" t="e">
        <f t="shared" si="229"/>
        <v>#DIV/0!</v>
      </c>
      <c r="O606" s="37" t="e">
        <f t="shared" si="229"/>
        <v>#DIV/0!</v>
      </c>
      <c r="P606" s="37" t="e">
        <f t="shared" si="229"/>
        <v>#DIV/0!</v>
      </c>
      <c r="Q606" s="669" t="e">
        <f t="shared" si="229"/>
        <v>#DIV/0!</v>
      </c>
      <c r="R606" s="182"/>
      <c r="S606" s="182"/>
      <c r="T606" s="182"/>
      <c r="U606" s="182"/>
      <c r="V606" s="182"/>
      <c r="W606" s="182"/>
      <c r="X606" s="182"/>
      <c r="Y606" s="182"/>
      <c r="Z606" s="182"/>
      <c r="AA606" s="182"/>
      <c r="AB606" s="182"/>
      <c r="AC606" s="182"/>
      <c r="AD606" s="182"/>
      <c r="AE606" s="182"/>
      <c r="AF606" s="182"/>
      <c r="AG606" s="182"/>
      <c r="AH606" s="182"/>
      <c r="AI606" s="182"/>
      <c r="AJ606" s="182"/>
      <c r="AK606" s="182"/>
      <c r="AL606" s="182"/>
      <c r="AM606" s="182"/>
      <c r="AN606" s="182"/>
      <c r="AO606" s="182"/>
      <c r="AP606" s="182"/>
      <c r="AQ606" s="182"/>
      <c r="AR606" s="182"/>
      <c r="AS606" s="182"/>
      <c r="AT606" s="182"/>
      <c r="AU606" s="182"/>
      <c r="AV606" s="182"/>
      <c r="AW606" s="182"/>
      <c r="AX606" s="182"/>
      <c r="AY606" s="182"/>
      <c r="AZ606" s="182"/>
      <c r="BA606" s="182"/>
      <c r="BB606" s="182"/>
      <c r="BC606" s="182"/>
      <c r="BD606" s="182"/>
      <c r="BE606" s="182"/>
    </row>
    <row r="607" spans="3:57">
      <c r="C607" s="664"/>
      <c r="D607" s="283"/>
      <c r="E607" s="283"/>
      <c r="F607" s="283"/>
      <c r="G607" s="283"/>
      <c r="H607" s="283"/>
      <c r="I607" s="283"/>
      <c r="J607" s="283"/>
      <c r="K607" s="283"/>
      <c r="L607" s="283"/>
      <c r="M607" s="283"/>
      <c r="N607" s="283"/>
      <c r="O607" s="283"/>
      <c r="P607" s="283"/>
      <c r="Q607" s="667"/>
      <c r="R607" s="182"/>
      <c r="S607" s="182"/>
      <c r="T607" s="182"/>
      <c r="U607" s="182"/>
      <c r="V607" s="182"/>
      <c r="W607" s="182"/>
      <c r="X607" s="182"/>
      <c r="Y607" s="182"/>
      <c r="Z607" s="182"/>
      <c r="AA607" s="182"/>
      <c r="AB607" s="182"/>
      <c r="AC607" s="182"/>
      <c r="AD607" s="182"/>
      <c r="AE607" s="182"/>
      <c r="AF607" s="182"/>
      <c r="AG607" s="182"/>
      <c r="AH607" s="182"/>
      <c r="AI607" s="182"/>
      <c r="AJ607" s="182"/>
      <c r="AK607" s="182"/>
      <c r="AL607" s="182"/>
      <c r="AM607" s="182"/>
      <c r="AN607" s="182"/>
      <c r="AO607" s="182"/>
      <c r="AP607" s="182"/>
      <c r="AQ607" s="182"/>
      <c r="AR607" s="182"/>
      <c r="AS607" s="182"/>
      <c r="AT607" s="182"/>
      <c r="AU607" s="182"/>
      <c r="AV607" s="182"/>
      <c r="AW607" s="182"/>
      <c r="AX607" s="182"/>
      <c r="AY607" s="182"/>
      <c r="AZ607" s="182"/>
      <c r="BA607" s="182"/>
      <c r="BB607" s="182"/>
      <c r="BC607" s="182"/>
      <c r="BD607" s="182"/>
      <c r="BE607" s="182"/>
    </row>
    <row r="608" spans="3:57">
      <c r="C608" s="664">
        <v>0</v>
      </c>
      <c r="D608" s="283"/>
      <c r="E608" s="283"/>
      <c r="F608" s="283"/>
      <c r="G608" s="283"/>
      <c r="H608" s="283"/>
      <c r="I608" s="283"/>
      <c r="J608" s="283"/>
      <c r="K608" s="283"/>
      <c r="L608" s="283"/>
      <c r="M608" s="283"/>
      <c r="N608" s="283"/>
      <c r="O608" s="283"/>
      <c r="P608" s="283"/>
      <c r="Q608" s="667"/>
      <c r="R608" s="182"/>
      <c r="S608" s="182"/>
      <c r="T608" s="182"/>
      <c r="U608" s="182"/>
      <c r="V608" s="182"/>
      <c r="W608" s="182"/>
      <c r="X608" s="182"/>
      <c r="Y608" s="182"/>
      <c r="Z608" s="182"/>
      <c r="AA608" s="182"/>
      <c r="AB608" s="182"/>
      <c r="AC608" s="182"/>
      <c r="AD608" s="182"/>
      <c r="AE608" s="182"/>
      <c r="AF608" s="182"/>
      <c r="AG608" s="182"/>
      <c r="AH608" s="182"/>
      <c r="AI608" s="182"/>
      <c r="AJ608" s="182"/>
      <c r="AK608" s="182"/>
      <c r="AL608" s="182"/>
      <c r="AM608" s="182"/>
      <c r="AN608" s="182"/>
      <c r="AO608" s="182"/>
      <c r="AP608" s="182"/>
      <c r="AQ608" s="182"/>
      <c r="AR608" s="182"/>
      <c r="AS608" s="182"/>
      <c r="AT608" s="182"/>
      <c r="AU608" s="182"/>
      <c r="AV608" s="182"/>
      <c r="AW608" s="182"/>
      <c r="AX608" s="182"/>
      <c r="AY608" s="182"/>
      <c r="AZ608" s="182"/>
      <c r="BA608" s="182"/>
      <c r="BB608" s="182"/>
      <c r="BC608" s="182"/>
      <c r="BD608" s="182"/>
      <c r="BE608" s="182"/>
    </row>
    <row r="609" spans="3:57">
      <c r="C609" s="664">
        <v>1</v>
      </c>
      <c r="D609" s="283"/>
      <c r="E609" s="283"/>
      <c r="F609" s="283" t="e">
        <f t="shared" ref="F609:Q613" si="230">-F$605*F$598*HLOOKUP((F$597+$C609),$D$581:$BA$582,2,FALSE)</f>
        <v>#DIV/0!</v>
      </c>
      <c r="G609" s="283" t="e">
        <f t="shared" si="230"/>
        <v>#DIV/0!</v>
      </c>
      <c r="H609" s="283" t="e">
        <f t="shared" si="230"/>
        <v>#DIV/0!</v>
      </c>
      <c r="I609" s="283" t="e">
        <f t="shared" si="230"/>
        <v>#DIV/0!</v>
      </c>
      <c r="J609" s="283" t="e">
        <f t="shared" si="230"/>
        <v>#DIV/0!</v>
      </c>
      <c r="K609" s="283" t="e">
        <f t="shared" si="230"/>
        <v>#DIV/0!</v>
      </c>
      <c r="L609" s="283" t="e">
        <f t="shared" si="230"/>
        <v>#DIV/0!</v>
      </c>
      <c r="M609" s="283" t="e">
        <f t="shared" si="230"/>
        <v>#DIV/0!</v>
      </c>
      <c r="N609" s="283" t="e">
        <f t="shared" si="230"/>
        <v>#DIV/0!</v>
      </c>
      <c r="O609" s="283" t="e">
        <f t="shared" si="230"/>
        <v>#DIV/0!</v>
      </c>
      <c r="P609" s="283" t="e">
        <f t="shared" si="230"/>
        <v>#DIV/0!</v>
      </c>
      <c r="Q609" s="667" t="e">
        <f t="shared" si="230"/>
        <v>#DIV/0!</v>
      </c>
      <c r="R609" s="182"/>
      <c r="S609" s="182"/>
      <c r="T609" s="182"/>
      <c r="U609" s="182"/>
      <c r="V609" s="182"/>
      <c r="W609" s="182"/>
      <c r="X609" s="182"/>
      <c r="Y609" s="182"/>
      <c r="Z609" s="182"/>
      <c r="AA609" s="182"/>
      <c r="AB609" s="182"/>
      <c r="AC609" s="182"/>
      <c r="AD609" s="182"/>
      <c r="AE609" s="182"/>
      <c r="AF609" s="182"/>
      <c r="AG609" s="182"/>
      <c r="AH609" s="182"/>
      <c r="AI609" s="182"/>
      <c r="AJ609" s="182"/>
      <c r="AK609" s="182"/>
      <c r="AL609" s="182"/>
      <c r="AM609" s="182"/>
      <c r="AN609" s="182"/>
      <c r="AO609" s="182"/>
      <c r="AP609" s="182"/>
      <c r="AQ609" s="182"/>
      <c r="AR609" s="182"/>
      <c r="AS609" s="182"/>
      <c r="AT609" s="182"/>
      <c r="AU609" s="182"/>
      <c r="AV609" s="182"/>
      <c r="AW609" s="182"/>
      <c r="AX609" s="182"/>
      <c r="AY609" s="182"/>
      <c r="AZ609" s="182"/>
      <c r="BA609" s="182"/>
      <c r="BB609" s="182"/>
      <c r="BC609" s="182"/>
      <c r="BD609" s="182"/>
      <c r="BE609" s="182"/>
    </row>
    <row r="610" spans="3:57">
      <c r="C610" s="664">
        <v>2</v>
      </c>
      <c r="D610" s="283"/>
      <c r="E610" s="283"/>
      <c r="F610" s="283" t="e">
        <f t="shared" si="230"/>
        <v>#DIV/0!</v>
      </c>
      <c r="G610" s="283" t="e">
        <f t="shared" si="230"/>
        <v>#DIV/0!</v>
      </c>
      <c r="H610" s="283" t="e">
        <f t="shared" si="230"/>
        <v>#DIV/0!</v>
      </c>
      <c r="I610" s="283" t="e">
        <f t="shared" si="230"/>
        <v>#DIV/0!</v>
      </c>
      <c r="J610" s="283" t="e">
        <f t="shared" si="230"/>
        <v>#DIV/0!</v>
      </c>
      <c r="K610" s="283" t="e">
        <f t="shared" si="230"/>
        <v>#DIV/0!</v>
      </c>
      <c r="L610" s="283" t="e">
        <f t="shared" si="230"/>
        <v>#DIV/0!</v>
      </c>
      <c r="M610" s="283" t="e">
        <f t="shared" si="230"/>
        <v>#DIV/0!</v>
      </c>
      <c r="N610" s="283" t="e">
        <f t="shared" si="230"/>
        <v>#DIV/0!</v>
      </c>
      <c r="O610" s="283" t="e">
        <f t="shared" si="230"/>
        <v>#DIV/0!</v>
      </c>
      <c r="P610" s="283" t="e">
        <f t="shared" si="230"/>
        <v>#DIV/0!</v>
      </c>
      <c r="Q610" s="667" t="e">
        <f t="shared" si="230"/>
        <v>#DIV/0!</v>
      </c>
      <c r="R610" s="182"/>
      <c r="S610" s="182"/>
      <c r="T610" s="182"/>
      <c r="U610" s="182"/>
      <c r="V610" s="182"/>
      <c r="W610" s="182"/>
      <c r="X610" s="182"/>
      <c r="Y610" s="182"/>
      <c r="Z610" s="182"/>
      <c r="AA610" s="182"/>
      <c r="AB610" s="182"/>
      <c r="AC610" s="182"/>
      <c r="AD610" s="182"/>
      <c r="AE610" s="182"/>
      <c r="AF610" s="182"/>
      <c r="AG610" s="182"/>
      <c r="AH610" s="182"/>
      <c r="AI610" s="182"/>
      <c r="AJ610" s="182"/>
      <c r="AK610" s="182"/>
      <c r="AL610" s="182"/>
      <c r="AM610" s="182"/>
      <c r="AN610" s="182"/>
      <c r="AO610" s="182"/>
      <c r="AP610" s="182"/>
      <c r="AQ610" s="182"/>
      <c r="AR610" s="182"/>
      <c r="AS610" s="182"/>
      <c r="AT610" s="182"/>
      <c r="AU610" s="182"/>
      <c r="AV610" s="182"/>
      <c r="AW610" s="182"/>
      <c r="AX610" s="182"/>
      <c r="AY610" s="182"/>
      <c r="AZ610" s="182"/>
      <c r="BA610" s="182"/>
      <c r="BB610" s="182"/>
      <c r="BC610" s="182"/>
      <c r="BD610" s="182"/>
      <c r="BE610" s="182"/>
    </row>
    <row r="611" spans="3:57">
      <c r="C611" s="664">
        <v>3</v>
      </c>
      <c r="D611" s="283"/>
      <c r="E611" s="283"/>
      <c r="F611" s="283" t="e">
        <f t="shared" si="230"/>
        <v>#DIV/0!</v>
      </c>
      <c r="G611" s="283" t="e">
        <f t="shared" si="230"/>
        <v>#DIV/0!</v>
      </c>
      <c r="H611" s="283" t="e">
        <f t="shared" si="230"/>
        <v>#DIV/0!</v>
      </c>
      <c r="I611" s="283" t="e">
        <f t="shared" si="230"/>
        <v>#DIV/0!</v>
      </c>
      <c r="J611" s="283" t="e">
        <f t="shared" si="230"/>
        <v>#DIV/0!</v>
      </c>
      <c r="K611" s="283" t="e">
        <f t="shared" si="230"/>
        <v>#DIV/0!</v>
      </c>
      <c r="L611" s="283" t="e">
        <f t="shared" si="230"/>
        <v>#DIV/0!</v>
      </c>
      <c r="M611" s="283" t="e">
        <f t="shared" si="230"/>
        <v>#DIV/0!</v>
      </c>
      <c r="N611" s="283" t="e">
        <f t="shared" si="230"/>
        <v>#DIV/0!</v>
      </c>
      <c r="O611" s="283" t="e">
        <f t="shared" si="230"/>
        <v>#DIV/0!</v>
      </c>
      <c r="P611" s="283" t="e">
        <f t="shared" si="230"/>
        <v>#DIV/0!</v>
      </c>
      <c r="Q611" s="667" t="e">
        <f t="shared" si="230"/>
        <v>#DIV/0!</v>
      </c>
      <c r="R611" s="182"/>
      <c r="S611" s="182"/>
      <c r="T611" s="182"/>
      <c r="U611" s="182"/>
      <c r="V611" s="182"/>
      <c r="W611" s="182"/>
      <c r="X611" s="182"/>
      <c r="Y611" s="182"/>
      <c r="Z611" s="182"/>
      <c r="AA611" s="182"/>
      <c r="AB611" s="182"/>
      <c r="AC611" s="182"/>
      <c r="AD611" s="182"/>
      <c r="AE611" s="182"/>
      <c r="AF611" s="182"/>
      <c r="AG611" s="182"/>
      <c r="AH611" s="182"/>
      <c r="AI611" s="182"/>
      <c r="AJ611" s="182"/>
      <c r="AK611" s="182"/>
      <c r="AL611" s="182"/>
      <c r="AM611" s="182"/>
      <c r="AN611" s="182"/>
      <c r="AO611" s="182"/>
      <c r="AP611" s="182"/>
      <c r="AQ611" s="182"/>
      <c r="AR611" s="182"/>
      <c r="AS611" s="182"/>
      <c r="AT611" s="182"/>
      <c r="AU611" s="182"/>
      <c r="AV611" s="182"/>
      <c r="AW611" s="182"/>
      <c r="AX611" s="182"/>
      <c r="AY611" s="182"/>
      <c r="AZ611" s="182"/>
      <c r="BA611" s="182"/>
      <c r="BB611" s="182"/>
      <c r="BC611" s="182"/>
      <c r="BD611" s="182"/>
      <c r="BE611" s="182"/>
    </row>
    <row r="612" spans="3:57">
      <c r="C612" s="664">
        <v>4</v>
      </c>
      <c r="D612" s="283"/>
      <c r="E612" s="283"/>
      <c r="F612" s="283" t="e">
        <f t="shared" si="230"/>
        <v>#DIV/0!</v>
      </c>
      <c r="G612" s="283" t="e">
        <f t="shared" si="230"/>
        <v>#DIV/0!</v>
      </c>
      <c r="H612" s="283" t="e">
        <f t="shared" si="230"/>
        <v>#DIV/0!</v>
      </c>
      <c r="I612" s="283" t="e">
        <f t="shared" si="230"/>
        <v>#DIV/0!</v>
      </c>
      <c r="J612" s="283" t="e">
        <f t="shared" si="230"/>
        <v>#DIV/0!</v>
      </c>
      <c r="K612" s="283" t="e">
        <f t="shared" si="230"/>
        <v>#DIV/0!</v>
      </c>
      <c r="L612" s="283" t="e">
        <f t="shared" si="230"/>
        <v>#DIV/0!</v>
      </c>
      <c r="M612" s="283" t="e">
        <f t="shared" si="230"/>
        <v>#DIV/0!</v>
      </c>
      <c r="N612" s="283" t="e">
        <f t="shared" si="230"/>
        <v>#DIV/0!</v>
      </c>
      <c r="O612" s="283" t="e">
        <f t="shared" si="230"/>
        <v>#DIV/0!</v>
      </c>
      <c r="P612" s="283" t="e">
        <f t="shared" si="230"/>
        <v>#DIV/0!</v>
      </c>
      <c r="Q612" s="667" t="e">
        <f t="shared" si="230"/>
        <v>#DIV/0!</v>
      </c>
      <c r="R612" s="182"/>
      <c r="S612" s="182"/>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c r="AR612" s="182"/>
      <c r="AS612" s="182"/>
      <c r="AT612" s="182"/>
      <c r="AU612" s="182"/>
      <c r="AV612" s="182"/>
      <c r="AW612" s="182"/>
      <c r="AX612" s="182"/>
      <c r="AY612" s="182"/>
      <c r="AZ612" s="182"/>
      <c r="BA612" s="182"/>
      <c r="BB612" s="182"/>
      <c r="BC612" s="182"/>
      <c r="BD612" s="182"/>
      <c r="BE612" s="182"/>
    </row>
    <row r="613" spans="3:57">
      <c r="C613" s="664">
        <v>5</v>
      </c>
      <c r="D613" s="283"/>
      <c r="E613" s="283"/>
      <c r="F613" s="283" t="e">
        <f t="shared" si="230"/>
        <v>#DIV/0!</v>
      </c>
      <c r="G613" s="283" t="e">
        <f t="shared" si="230"/>
        <v>#DIV/0!</v>
      </c>
      <c r="H613" s="283" t="e">
        <f t="shared" si="230"/>
        <v>#DIV/0!</v>
      </c>
      <c r="I613" s="283" t="e">
        <f t="shared" si="230"/>
        <v>#DIV/0!</v>
      </c>
      <c r="J613" s="283" t="e">
        <f t="shared" si="230"/>
        <v>#DIV/0!</v>
      </c>
      <c r="K613" s="283" t="e">
        <f t="shared" si="230"/>
        <v>#DIV/0!</v>
      </c>
      <c r="L613" s="283" t="e">
        <f t="shared" si="230"/>
        <v>#DIV/0!</v>
      </c>
      <c r="M613" s="283" t="e">
        <f t="shared" si="230"/>
        <v>#DIV/0!</v>
      </c>
      <c r="N613" s="283" t="e">
        <f t="shared" si="230"/>
        <v>#DIV/0!</v>
      </c>
      <c r="O613" s="283" t="e">
        <f t="shared" si="230"/>
        <v>#DIV/0!</v>
      </c>
      <c r="P613" s="283" t="e">
        <f t="shared" si="230"/>
        <v>#DIV/0!</v>
      </c>
      <c r="Q613" s="667" t="e">
        <f t="shared" si="230"/>
        <v>#DIV/0!</v>
      </c>
      <c r="R613" s="182"/>
      <c r="S613" s="182"/>
      <c r="T613" s="182"/>
      <c r="U613" s="182"/>
      <c r="V613" s="182"/>
      <c r="W613" s="182"/>
      <c r="X613" s="182"/>
      <c r="Y613" s="182"/>
      <c r="Z613" s="182"/>
      <c r="AA613" s="182"/>
      <c r="AB613" s="182"/>
      <c r="AC613" s="182"/>
      <c r="AD613" s="182"/>
      <c r="AE613" s="182"/>
      <c r="AF613" s="182"/>
      <c r="AG613" s="182"/>
      <c r="AH613" s="182"/>
      <c r="AI613" s="182"/>
      <c r="AJ613" s="182"/>
      <c r="AK613" s="182"/>
      <c r="AL613" s="182"/>
      <c r="AM613" s="182"/>
      <c r="AN613" s="182"/>
      <c r="AO613" s="182"/>
      <c r="AP613" s="182"/>
      <c r="AQ613" s="182"/>
      <c r="AR613" s="182"/>
      <c r="AS613" s="182"/>
      <c r="AT613" s="182"/>
      <c r="AU613" s="182"/>
      <c r="AV613" s="182"/>
      <c r="AW613" s="182"/>
      <c r="AX613" s="182"/>
      <c r="AY613" s="182"/>
      <c r="AZ613" s="182"/>
      <c r="BA613" s="182"/>
      <c r="BB613" s="182"/>
      <c r="BC613" s="182"/>
      <c r="BD613" s="182"/>
      <c r="BE613" s="182"/>
    </row>
    <row r="614" spans="3:57">
      <c r="C614" s="664"/>
      <c r="D614" s="283"/>
      <c r="E614" s="283"/>
      <c r="F614" s="283"/>
      <c r="G614" s="283"/>
      <c r="H614" s="283"/>
      <c r="I614" s="283"/>
      <c r="J614" s="283"/>
      <c r="K614" s="283"/>
      <c r="L614" s="283"/>
      <c r="M614" s="283"/>
      <c r="N614" s="283"/>
      <c r="O614" s="283"/>
      <c r="P614" s="283"/>
      <c r="Q614" s="667"/>
      <c r="R614" s="182"/>
      <c r="S614" s="182"/>
      <c r="T614" s="182"/>
      <c r="U614" s="182"/>
      <c r="V614" s="182"/>
      <c r="W614" s="182"/>
      <c r="X614" s="182"/>
      <c r="Y614" s="182"/>
      <c r="Z614" s="182"/>
      <c r="AA614" s="182"/>
      <c r="AB614" s="182"/>
      <c r="AC614" s="182"/>
      <c r="AD614" s="182"/>
      <c r="AE614" s="182"/>
      <c r="AF614" s="182"/>
      <c r="AG614" s="182"/>
      <c r="AH614" s="182"/>
      <c r="AI614" s="182"/>
      <c r="AJ614" s="182"/>
      <c r="AK614" s="182"/>
      <c r="AL614" s="182"/>
      <c r="AM614" s="182"/>
      <c r="AN614" s="182"/>
      <c r="AO614" s="182"/>
      <c r="AP614" s="182"/>
      <c r="AQ614" s="182"/>
      <c r="AR614" s="182"/>
      <c r="AS614" s="182"/>
      <c r="AT614" s="182"/>
      <c r="AU614" s="182"/>
      <c r="AV614" s="182"/>
      <c r="AW614" s="182"/>
      <c r="AX614" s="182"/>
      <c r="AY614" s="182"/>
      <c r="AZ614" s="182"/>
      <c r="BA614" s="182"/>
      <c r="BB614" s="182"/>
      <c r="BC614" s="182"/>
      <c r="BD614" s="182"/>
      <c r="BE614" s="182"/>
    </row>
    <row r="615" spans="3:57" ht="16">
      <c r="C615" s="664" t="s">
        <v>173</v>
      </c>
      <c r="D615" s="283"/>
      <c r="E615" s="283"/>
      <c r="F615" s="283">
        <f>E609+D610</f>
        <v>0</v>
      </c>
      <c r="G615" s="283" t="e">
        <f>F609+E610+D611</f>
        <v>#DIV/0!</v>
      </c>
      <c r="H615" s="283" t="e">
        <f>G609+F610+E611+D612</f>
        <v>#DIV/0!</v>
      </c>
      <c r="I615" s="283" t="e">
        <f>H609+G610+F611+E612+D613</f>
        <v>#DIV/0!</v>
      </c>
      <c r="J615" s="283" t="e">
        <f>I609+H610+G611+F612+E613</f>
        <v>#DIV/0!</v>
      </c>
      <c r="K615" s="283" t="e">
        <f t="shared" ref="K615:Q615" si="231">J609+I610+H611+G612+F613</f>
        <v>#DIV/0!</v>
      </c>
      <c r="L615" s="283" t="e">
        <f t="shared" si="231"/>
        <v>#DIV/0!</v>
      </c>
      <c r="M615" s="283" t="e">
        <f t="shared" si="231"/>
        <v>#DIV/0!</v>
      </c>
      <c r="N615" s="283" t="e">
        <f t="shared" si="231"/>
        <v>#DIV/0!</v>
      </c>
      <c r="O615" s="283" t="e">
        <f t="shared" si="231"/>
        <v>#DIV/0!</v>
      </c>
      <c r="P615" s="283" t="e">
        <f t="shared" si="231"/>
        <v>#DIV/0!</v>
      </c>
      <c r="Q615" s="667" t="e">
        <f t="shared" si="231"/>
        <v>#DIV/0!</v>
      </c>
      <c r="R615" s="283"/>
      <c r="S615" s="283"/>
      <c r="T615" s="182"/>
      <c r="U615" s="182"/>
      <c r="V615" s="182"/>
      <c r="W615" s="182"/>
      <c r="X615" s="182"/>
      <c r="Y615" s="182"/>
      <c r="Z615" s="182"/>
      <c r="AA615" s="182"/>
      <c r="AB615" s="182"/>
      <c r="AC615" s="182"/>
      <c r="AD615" s="182"/>
      <c r="AE615" s="182"/>
      <c r="AF615" s="182"/>
      <c r="AG615" s="182"/>
      <c r="AH615" s="182"/>
      <c r="AI615" s="182"/>
      <c r="AJ615" s="182"/>
      <c r="AK615" s="182"/>
      <c r="AL615" s="182"/>
      <c r="AM615" s="182"/>
      <c r="AN615" s="182"/>
      <c r="AO615" s="182"/>
      <c r="AP615" s="182"/>
      <c r="AQ615" s="182"/>
      <c r="AR615" s="182"/>
      <c r="AS615" s="182"/>
      <c r="AT615" s="182"/>
      <c r="AU615" s="182"/>
      <c r="AV615" s="182"/>
      <c r="AW615" s="182"/>
      <c r="AX615" s="182"/>
      <c r="AY615" s="182"/>
      <c r="AZ615" s="182"/>
      <c r="BA615" s="182"/>
      <c r="BB615" s="182"/>
      <c r="BC615" s="182"/>
      <c r="BD615" s="182"/>
      <c r="BE615" s="182"/>
    </row>
    <row r="616" spans="3:57">
      <c r="C616" s="664"/>
      <c r="D616" s="283"/>
      <c r="E616" s="283"/>
      <c r="F616" s="283"/>
      <c r="G616" s="283"/>
      <c r="H616" s="283"/>
      <c r="I616" s="283"/>
      <c r="J616" s="283"/>
      <c r="K616" s="283"/>
      <c r="L616" s="283"/>
      <c r="M616" s="283"/>
      <c r="N616" s="283"/>
      <c r="O616" s="283"/>
      <c r="P616" s="283"/>
      <c r="Q616" s="667"/>
      <c r="R616" s="283"/>
      <c r="S616" s="283"/>
      <c r="T616" s="182"/>
      <c r="U616" s="182"/>
      <c r="V616" s="182"/>
      <c r="W616" s="182"/>
      <c r="X616" s="182"/>
      <c r="Y616" s="182"/>
      <c r="Z616" s="182"/>
      <c r="AA616" s="182"/>
      <c r="AB616" s="182"/>
      <c r="AC616" s="182"/>
      <c r="AD616" s="182"/>
      <c r="AE616" s="182"/>
      <c r="AF616" s="182"/>
      <c r="AG616" s="182"/>
      <c r="AH616" s="182"/>
      <c r="AI616" s="182"/>
      <c r="AJ616" s="182"/>
      <c r="AK616" s="182"/>
      <c r="AL616" s="182"/>
      <c r="AM616" s="182"/>
      <c r="AN616" s="182"/>
      <c r="AO616" s="182"/>
      <c r="AP616" s="182"/>
      <c r="AQ616" s="182"/>
      <c r="AR616" s="182"/>
      <c r="AS616" s="182"/>
      <c r="AT616" s="182"/>
      <c r="AU616" s="182"/>
      <c r="AV616" s="182"/>
      <c r="AW616" s="182"/>
      <c r="AX616" s="182"/>
      <c r="AY616" s="182"/>
      <c r="AZ616" s="182"/>
      <c r="BA616" s="182"/>
      <c r="BB616" s="182"/>
      <c r="BC616" s="182"/>
      <c r="BD616" s="182"/>
      <c r="BE616" s="182"/>
    </row>
    <row r="617" spans="3:57">
      <c r="C617" s="664"/>
      <c r="D617" s="182"/>
      <c r="E617" s="182"/>
      <c r="F617" s="182"/>
      <c r="G617" s="182"/>
      <c r="H617" s="182"/>
      <c r="I617" s="182"/>
      <c r="J617" s="182"/>
      <c r="K617" s="182"/>
      <c r="L617" s="182"/>
      <c r="M617" s="182"/>
      <c r="N617" s="182"/>
      <c r="O617" s="182"/>
      <c r="P617" s="182"/>
      <c r="Q617" s="678"/>
      <c r="R617" s="182"/>
      <c r="S617" s="182"/>
      <c r="T617" s="182"/>
      <c r="U617" s="182"/>
      <c r="V617" s="182"/>
      <c r="W617" s="182"/>
      <c r="X617" s="182"/>
      <c r="Y617" s="182"/>
      <c r="Z617" s="182"/>
      <c r="AA617" s="182"/>
      <c r="AB617" s="182"/>
      <c r="AC617" s="182"/>
      <c r="AD617" s="182"/>
      <c r="AE617" s="182"/>
      <c r="AF617" s="182"/>
      <c r="AG617" s="182"/>
      <c r="AH617" s="182"/>
      <c r="AI617" s="182"/>
      <c r="AJ617" s="182"/>
      <c r="AK617" s="182"/>
      <c r="AL617" s="182"/>
      <c r="AM617" s="182"/>
      <c r="AN617" s="182"/>
      <c r="AO617" s="182"/>
      <c r="AP617" s="182"/>
      <c r="AQ617" s="182"/>
      <c r="AR617" s="182"/>
      <c r="AS617" s="182"/>
      <c r="AT617" s="182"/>
      <c r="AU617" s="182"/>
      <c r="AV617" s="182"/>
      <c r="AW617" s="182"/>
      <c r="AX617" s="182"/>
      <c r="AY617" s="182"/>
      <c r="AZ617" s="182"/>
      <c r="BA617" s="182"/>
      <c r="BB617" s="182"/>
      <c r="BC617" s="182"/>
      <c r="BD617" s="182"/>
      <c r="BE617" s="182"/>
    </row>
    <row r="618" spans="3:57">
      <c r="C618" s="701">
        <v>10</v>
      </c>
      <c r="D618" s="599"/>
      <c r="E618" s="599">
        <v>2023</v>
      </c>
      <c r="F618" s="599">
        <v>2024</v>
      </c>
      <c r="G618" s="599">
        <v>2025</v>
      </c>
      <c r="H618" s="599">
        <v>2026</v>
      </c>
      <c r="I618" s="599">
        <v>2027</v>
      </c>
      <c r="J618" s="599">
        <v>2028</v>
      </c>
      <c r="K618" s="599">
        <v>2029</v>
      </c>
      <c r="L618" s="599">
        <v>2030</v>
      </c>
      <c r="M618" s="599">
        <v>2031</v>
      </c>
      <c r="N618" s="599">
        <v>2032</v>
      </c>
      <c r="O618" s="599">
        <v>2033</v>
      </c>
      <c r="P618" s="599">
        <v>2034</v>
      </c>
      <c r="Q618" s="702">
        <v>2035</v>
      </c>
      <c r="R618" s="182"/>
      <c r="S618" s="182"/>
      <c r="T618" s="182"/>
      <c r="U618" s="182"/>
      <c r="V618" s="182"/>
      <c r="W618" s="182"/>
      <c r="X618" s="182"/>
      <c r="Y618" s="182"/>
      <c r="Z618" s="182"/>
      <c r="AA618" s="182"/>
      <c r="AB618" s="182"/>
      <c r="AC618" s="182"/>
      <c r="AD618" s="182"/>
      <c r="AE618" s="182"/>
      <c r="AF618" s="182"/>
      <c r="AG618" s="182"/>
      <c r="AH618" s="182"/>
      <c r="AI618" s="182"/>
      <c r="AJ618" s="182"/>
      <c r="AK618" s="182"/>
      <c r="AL618" s="182"/>
      <c r="AM618" s="182"/>
      <c r="AN618" s="182"/>
      <c r="AO618" s="182"/>
      <c r="AP618" s="182"/>
      <c r="AQ618" s="182"/>
      <c r="AR618" s="182"/>
      <c r="AS618" s="182"/>
      <c r="AT618" s="182"/>
      <c r="AU618" s="182"/>
      <c r="AV618" s="182"/>
      <c r="AW618" s="182"/>
      <c r="AX618" s="182"/>
      <c r="AY618" s="182"/>
      <c r="AZ618" s="182"/>
      <c r="BA618" s="182"/>
      <c r="BB618" s="182"/>
      <c r="BC618" s="182"/>
      <c r="BD618" s="182"/>
      <c r="BE618" s="182"/>
    </row>
    <row r="619" spans="3:57" ht="16">
      <c r="C619" s="664" t="s">
        <v>177</v>
      </c>
      <c r="D619" s="291"/>
      <c r="E619" s="291"/>
      <c r="F619" s="291">
        <f>'Deuda a emitir'!F78</f>
        <v>0</v>
      </c>
      <c r="G619" s="291">
        <f>'Deuda a emitir'!G78</f>
        <v>0</v>
      </c>
      <c r="H619" s="291">
        <f>'Deuda a emitir'!H78</f>
        <v>0</v>
      </c>
      <c r="I619" s="291">
        <f>'Deuda a emitir'!I78</f>
        <v>0</v>
      </c>
      <c r="J619" s="291">
        <f>'Deuda a emitir'!J78</f>
        <v>0</v>
      </c>
      <c r="K619" s="291">
        <f>'Deuda a emitir'!K78</f>
        <v>0</v>
      </c>
      <c r="L619" s="291">
        <f>'Deuda a emitir'!L78</f>
        <v>0</v>
      </c>
      <c r="M619" s="291">
        <f>'Deuda a emitir'!M78</f>
        <v>0</v>
      </c>
      <c r="N619" s="291">
        <f>'Deuda a emitir'!N78</f>
        <v>0</v>
      </c>
      <c r="O619" s="291">
        <f>'Deuda a emitir'!O78</f>
        <v>0</v>
      </c>
      <c r="P619" s="291">
        <f>'Deuda a emitir'!P78</f>
        <v>0</v>
      </c>
      <c r="Q619" s="666">
        <f>'Deuda a emitir'!Q78</f>
        <v>0</v>
      </c>
      <c r="R619" s="182"/>
      <c r="S619" s="182"/>
      <c r="T619" s="182"/>
      <c r="U619" s="182"/>
      <c r="V619" s="182"/>
      <c r="W619" s="182"/>
      <c r="X619" s="182"/>
      <c r="Y619" s="182"/>
      <c r="Z619" s="182"/>
      <c r="AA619" s="182"/>
      <c r="AB619" s="182"/>
      <c r="AC619" s="182"/>
      <c r="AD619" s="182"/>
      <c r="AE619" s="182"/>
      <c r="AF619" s="182"/>
      <c r="AG619" s="182"/>
      <c r="AH619" s="182"/>
      <c r="AI619" s="182"/>
      <c r="AJ619" s="182"/>
      <c r="AK619" s="182"/>
      <c r="AL619" s="182"/>
      <c r="AM619" s="182"/>
      <c r="AN619" s="182"/>
      <c r="AO619" s="182"/>
      <c r="AP619" s="182"/>
      <c r="AQ619" s="182"/>
      <c r="AR619" s="182"/>
      <c r="AS619" s="182"/>
      <c r="AT619" s="182"/>
      <c r="AU619" s="182"/>
      <c r="AV619" s="182"/>
      <c r="AW619" s="182"/>
      <c r="AX619" s="182"/>
      <c r="AY619" s="182"/>
      <c r="AZ619" s="182"/>
      <c r="BA619" s="182"/>
      <c r="BB619" s="182"/>
      <c r="BC619" s="182"/>
      <c r="BD619" s="182"/>
      <c r="BE619" s="182"/>
    </row>
    <row r="620" spans="3:57" ht="16">
      <c r="C620" s="664" t="s">
        <v>179</v>
      </c>
      <c r="D620" s="328"/>
      <c r="E620" s="328"/>
      <c r="F620" s="328">
        <f>'Deuda a emitir'!F79</f>
        <v>10</v>
      </c>
      <c r="G620" s="328">
        <f>'Deuda a emitir'!G79</f>
        <v>10</v>
      </c>
      <c r="H620" s="328">
        <f>'Deuda a emitir'!H79</f>
        <v>10</v>
      </c>
      <c r="I620" s="328">
        <f>'Deuda a emitir'!I79</f>
        <v>10</v>
      </c>
      <c r="J620" s="328">
        <f>'Deuda a emitir'!J79</f>
        <v>10</v>
      </c>
      <c r="K620" s="328">
        <f>'Deuda a emitir'!K79</f>
        <v>10</v>
      </c>
      <c r="L620" s="328">
        <f>'Deuda a emitir'!L79</f>
        <v>10</v>
      </c>
      <c r="M620" s="328">
        <f>'Deuda a emitir'!M79</f>
        <v>10</v>
      </c>
      <c r="N620" s="328">
        <f>'Deuda a emitir'!N79</f>
        <v>10</v>
      </c>
      <c r="O620" s="328">
        <f>'Deuda a emitir'!O79</f>
        <v>10</v>
      </c>
      <c r="P620" s="328">
        <f>'Deuda a emitir'!P79</f>
        <v>10</v>
      </c>
      <c r="Q620" s="681">
        <f>'Deuda a emitir'!Q79</f>
        <v>10</v>
      </c>
      <c r="R620" s="182"/>
      <c r="S620" s="182"/>
      <c r="T620" s="182"/>
      <c r="U620" s="182"/>
      <c r="V620" s="182"/>
      <c r="W620" s="182"/>
      <c r="X620" s="182"/>
      <c r="Y620" s="182"/>
      <c r="Z620" s="182"/>
      <c r="AA620" s="182"/>
      <c r="AB620" s="182"/>
      <c r="AC620" s="182"/>
      <c r="AD620" s="182"/>
      <c r="AE620" s="182"/>
      <c r="AF620" s="182"/>
      <c r="AG620" s="182"/>
      <c r="AH620" s="182"/>
      <c r="AI620" s="182"/>
      <c r="AJ620" s="182"/>
      <c r="AK620" s="182"/>
      <c r="AL620" s="182"/>
      <c r="AM620" s="182"/>
      <c r="AN620" s="182"/>
      <c r="AO620" s="182"/>
      <c r="AP620" s="182"/>
      <c r="AQ620" s="182"/>
      <c r="AR620" s="182"/>
      <c r="AS620" s="182"/>
      <c r="AT620" s="182"/>
      <c r="AU620" s="182"/>
      <c r="AV620" s="182"/>
      <c r="AW620" s="182"/>
      <c r="AX620" s="182"/>
      <c r="AY620" s="182"/>
      <c r="AZ620" s="182"/>
      <c r="BA620" s="182"/>
      <c r="BB620" s="182"/>
      <c r="BC620" s="182"/>
      <c r="BD620" s="182"/>
      <c r="BE620" s="182"/>
    </row>
    <row r="621" spans="3:57" ht="16">
      <c r="C621" s="664" t="s">
        <v>72</v>
      </c>
      <c r="D621" s="328"/>
      <c r="E621" s="328"/>
      <c r="F621" s="328">
        <f t="shared" ref="F621:Q621" si="232">F618+F620</f>
        <v>2034</v>
      </c>
      <c r="G621" s="328">
        <f t="shared" si="232"/>
        <v>2035</v>
      </c>
      <c r="H621" s="328">
        <f t="shared" si="232"/>
        <v>2036</v>
      </c>
      <c r="I621" s="328">
        <f t="shared" si="232"/>
        <v>2037</v>
      </c>
      <c r="J621" s="328">
        <f t="shared" si="232"/>
        <v>2038</v>
      </c>
      <c r="K621" s="328">
        <f t="shared" si="232"/>
        <v>2039</v>
      </c>
      <c r="L621" s="328">
        <f t="shared" si="232"/>
        <v>2040</v>
      </c>
      <c r="M621" s="328">
        <f t="shared" si="232"/>
        <v>2041</v>
      </c>
      <c r="N621" s="328">
        <f t="shared" si="232"/>
        <v>2042</v>
      </c>
      <c r="O621" s="328">
        <f t="shared" si="232"/>
        <v>2043</v>
      </c>
      <c r="P621" s="328">
        <f t="shared" si="232"/>
        <v>2044</v>
      </c>
      <c r="Q621" s="681">
        <f t="shared" si="232"/>
        <v>2045</v>
      </c>
      <c r="R621" s="182"/>
      <c r="S621" s="182"/>
      <c r="T621" s="182"/>
      <c r="U621" s="182"/>
      <c r="V621" s="182"/>
      <c r="W621" s="182"/>
      <c r="X621" s="182"/>
      <c r="Y621" s="182"/>
      <c r="Z621" s="182"/>
      <c r="AA621" s="182"/>
      <c r="AB621" s="182"/>
      <c r="AC621" s="182"/>
      <c r="AD621" s="182"/>
      <c r="AE621" s="182"/>
      <c r="AF621" s="182"/>
      <c r="AG621" s="182"/>
      <c r="AH621" s="182"/>
      <c r="AI621" s="182"/>
      <c r="AJ621" s="182"/>
      <c r="AK621" s="182"/>
      <c r="AL621" s="182"/>
      <c r="AM621" s="182"/>
      <c r="AN621" s="182"/>
      <c r="AO621" s="182"/>
      <c r="AP621" s="182"/>
      <c r="AQ621" s="182"/>
      <c r="AR621" s="182"/>
      <c r="AS621" s="182"/>
      <c r="AT621" s="182"/>
      <c r="AU621" s="182"/>
      <c r="AV621" s="182"/>
      <c r="AW621" s="182"/>
      <c r="AX621" s="182"/>
      <c r="AY621" s="182"/>
      <c r="AZ621" s="182"/>
      <c r="BA621" s="182"/>
      <c r="BB621" s="182"/>
      <c r="BC621" s="182"/>
      <c r="BD621" s="182"/>
      <c r="BE621" s="182"/>
    </row>
    <row r="622" spans="3:57" ht="16">
      <c r="C622" s="664" t="s">
        <v>180</v>
      </c>
      <c r="D622" s="291"/>
      <c r="E622" s="291"/>
      <c r="F622" s="291">
        <f>'Deuda a emitir'!F71</f>
        <v>0</v>
      </c>
      <c r="G622" s="291">
        <f>'Deuda a emitir'!G71</f>
        <v>0</v>
      </c>
      <c r="H622" s="291">
        <f>'Deuda a emitir'!H71</f>
        <v>0</v>
      </c>
      <c r="I622" s="291">
        <f>'Deuda a emitir'!I71</f>
        <v>0</v>
      </c>
      <c r="J622" s="291">
        <f>'Deuda a emitir'!J71</f>
        <v>0</v>
      </c>
      <c r="K622" s="291">
        <f>'Deuda a emitir'!K71</f>
        <v>0</v>
      </c>
      <c r="L622" s="291">
        <f>'Deuda a emitir'!L71</f>
        <v>0</v>
      </c>
      <c r="M622" s="291">
        <f>'Deuda a emitir'!M71</f>
        <v>0</v>
      </c>
      <c r="N622" s="291">
        <f>'Deuda a emitir'!N71</f>
        <v>0</v>
      </c>
      <c r="O622" s="291">
        <f>'Deuda a emitir'!O71</f>
        <v>0</v>
      </c>
      <c r="P622" s="291">
        <f>'Deuda a emitir'!P71</f>
        <v>0</v>
      </c>
      <c r="Q622" s="666">
        <f>'Deuda a emitir'!Q71</f>
        <v>0</v>
      </c>
      <c r="R622" s="182"/>
      <c r="S622" s="182"/>
      <c r="T622" s="182"/>
      <c r="U622" s="182"/>
      <c r="V622" s="182"/>
      <c r="W622" s="182"/>
      <c r="X622" s="182"/>
      <c r="Y622" s="182"/>
      <c r="Z622" s="182"/>
      <c r="AA622" s="182"/>
      <c r="AB622" s="182"/>
      <c r="AC622" s="182"/>
      <c r="AD622" s="182"/>
      <c r="AE622" s="182"/>
      <c r="AF622" s="182"/>
      <c r="AG622" s="182"/>
      <c r="AH622" s="182"/>
      <c r="AI622" s="182"/>
      <c r="AJ622" s="182"/>
      <c r="AK622" s="182"/>
      <c r="AL622" s="182"/>
      <c r="AM622" s="182"/>
      <c r="AN622" s="182"/>
      <c r="AO622" s="182"/>
      <c r="AP622" s="182"/>
      <c r="AQ622" s="182"/>
      <c r="AR622" s="182"/>
      <c r="AS622" s="182"/>
      <c r="AT622" s="182"/>
      <c r="AU622" s="182"/>
      <c r="AV622" s="182"/>
      <c r="AW622" s="182"/>
      <c r="AX622" s="182"/>
      <c r="AY622" s="182"/>
      <c r="AZ622" s="182"/>
      <c r="BA622" s="182"/>
      <c r="BB622" s="182"/>
      <c r="BC622" s="182"/>
      <c r="BD622" s="182"/>
      <c r="BE622" s="182"/>
    </row>
    <row r="623" spans="3:57" ht="32">
      <c r="C623" s="664" t="s">
        <v>204</v>
      </c>
      <c r="D623" s="283"/>
      <c r="E623" s="283"/>
      <c r="F623" s="283">
        <f t="shared" ref="F623:Q623" si="233">F$583*F622</f>
        <v>0</v>
      </c>
      <c r="G623" s="283" t="e">
        <f t="shared" si="233"/>
        <v>#DIV/0!</v>
      </c>
      <c r="H623" s="283" t="e">
        <f t="shared" si="233"/>
        <v>#DIV/0!</v>
      </c>
      <c r="I623" s="283" t="e">
        <f t="shared" si="233"/>
        <v>#DIV/0!</v>
      </c>
      <c r="J623" s="283" t="e">
        <f t="shared" si="233"/>
        <v>#DIV/0!</v>
      </c>
      <c r="K623" s="283" t="e">
        <f t="shared" si="233"/>
        <v>#DIV/0!</v>
      </c>
      <c r="L623" s="283" t="e">
        <f t="shared" si="233"/>
        <v>#DIV/0!</v>
      </c>
      <c r="M623" s="283" t="e">
        <f t="shared" si="233"/>
        <v>#DIV/0!</v>
      </c>
      <c r="N623" s="283" t="e">
        <f t="shared" si="233"/>
        <v>#DIV/0!</v>
      </c>
      <c r="O623" s="283" t="e">
        <f t="shared" si="233"/>
        <v>#DIV/0!</v>
      </c>
      <c r="P623" s="283" t="e">
        <f t="shared" si="233"/>
        <v>#DIV/0!</v>
      </c>
      <c r="Q623" s="667" t="e">
        <f t="shared" si="233"/>
        <v>#DIV/0!</v>
      </c>
      <c r="R623" s="182"/>
      <c r="S623" s="182"/>
      <c r="T623" s="182"/>
      <c r="U623" s="182"/>
      <c r="V623" s="182"/>
      <c r="W623" s="182"/>
      <c r="X623" s="182"/>
      <c r="Y623" s="182"/>
      <c r="Z623" s="182"/>
      <c r="AA623" s="182"/>
      <c r="AB623" s="182"/>
      <c r="AC623" s="182"/>
      <c r="AD623" s="182"/>
      <c r="AE623" s="182"/>
      <c r="AF623" s="182"/>
      <c r="AG623" s="182"/>
      <c r="AH623" s="182"/>
      <c r="AI623" s="182"/>
      <c r="AJ623" s="182"/>
      <c r="AK623" s="182"/>
      <c r="AL623" s="182"/>
      <c r="AM623" s="182"/>
      <c r="AN623" s="182"/>
      <c r="AO623" s="182"/>
      <c r="AP623" s="182"/>
      <c r="AQ623" s="182"/>
      <c r="AR623" s="182"/>
      <c r="AS623" s="182"/>
      <c r="AT623" s="182"/>
      <c r="AU623" s="182"/>
      <c r="AV623" s="182"/>
      <c r="AW623" s="182"/>
      <c r="AX623" s="182"/>
      <c r="AY623" s="182"/>
      <c r="AZ623" s="182"/>
      <c r="BA623" s="182"/>
      <c r="BB623" s="182"/>
      <c r="BC623" s="182"/>
      <c r="BD623" s="182"/>
      <c r="BE623" s="182"/>
    </row>
    <row r="624" spans="3:57" ht="32">
      <c r="C624" s="664" t="s">
        <v>171</v>
      </c>
      <c r="D624" s="283"/>
      <c r="E624" s="283"/>
      <c r="F624" s="283">
        <f t="shared" ref="F624:Q624" si="234">F$584*F622</f>
        <v>0</v>
      </c>
      <c r="G624" s="283">
        <f t="shared" si="234"/>
        <v>0</v>
      </c>
      <c r="H624" s="283">
        <f t="shared" si="234"/>
        <v>0</v>
      </c>
      <c r="I624" s="283">
        <f t="shared" si="234"/>
        <v>0</v>
      </c>
      <c r="J624" s="283">
        <f t="shared" si="234"/>
        <v>0</v>
      </c>
      <c r="K624" s="283">
        <f t="shared" si="234"/>
        <v>0</v>
      </c>
      <c r="L624" s="283">
        <f t="shared" si="234"/>
        <v>0</v>
      </c>
      <c r="M624" s="283">
        <f t="shared" si="234"/>
        <v>0</v>
      </c>
      <c r="N624" s="283">
        <f t="shared" si="234"/>
        <v>0</v>
      </c>
      <c r="O624" s="283">
        <f t="shared" si="234"/>
        <v>0</v>
      </c>
      <c r="P624" s="283">
        <f t="shared" si="234"/>
        <v>0</v>
      </c>
      <c r="Q624" s="667">
        <f t="shared" si="234"/>
        <v>0</v>
      </c>
      <c r="R624" s="182"/>
      <c r="S624" s="182"/>
      <c r="T624" s="182"/>
      <c r="U624" s="182"/>
      <c r="V624" s="182"/>
      <c r="W624" s="182"/>
      <c r="X624" s="182"/>
      <c r="Y624" s="182"/>
      <c r="Z624" s="182"/>
      <c r="AA624" s="182"/>
      <c r="AB624" s="182"/>
      <c r="AC624" s="182"/>
      <c r="AD624" s="182"/>
      <c r="AE624" s="182"/>
      <c r="AF624" s="182"/>
      <c r="AG624" s="182"/>
      <c r="AH624" s="182"/>
      <c r="AI624" s="182"/>
      <c r="AJ624" s="182"/>
      <c r="AK624" s="182"/>
      <c r="AL624" s="182"/>
      <c r="AM624" s="182"/>
      <c r="AN624" s="182"/>
      <c r="AO624" s="182"/>
      <c r="AP624" s="182"/>
      <c r="AQ624" s="182"/>
      <c r="AR624" s="182"/>
      <c r="AS624" s="182"/>
      <c r="AT624" s="182"/>
      <c r="AU624" s="182"/>
      <c r="AV624" s="182"/>
      <c r="AW624" s="182"/>
      <c r="AX624" s="182"/>
      <c r="AY624" s="182"/>
      <c r="AZ624" s="182"/>
      <c r="BA624" s="182"/>
      <c r="BB624" s="182"/>
      <c r="BC624" s="182"/>
      <c r="BD624" s="182"/>
      <c r="BE624" s="182"/>
    </row>
    <row r="625" spans="3:57" ht="16">
      <c r="C625" s="668" t="s">
        <v>212</v>
      </c>
      <c r="D625" s="37"/>
      <c r="E625" s="37"/>
      <c r="F625" s="37">
        <f t="shared" ref="F625:P625" si="235">SUM(F623:F624)</f>
        <v>0</v>
      </c>
      <c r="G625" s="37" t="e">
        <f t="shared" si="235"/>
        <v>#DIV/0!</v>
      </c>
      <c r="H625" s="37" t="e">
        <f t="shared" si="235"/>
        <v>#DIV/0!</v>
      </c>
      <c r="I625" s="37" t="e">
        <f t="shared" si="235"/>
        <v>#DIV/0!</v>
      </c>
      <c r="J625" s="37" t="e">
        <f t="shared" si="235"/>
        <v>#DIV/0!</v>
      </c>
      <c r="K625" s="37" t="e">
        <f t="shared" si="235"/>
        <v>#DIV/0!</v>
      </c>
      <c r="L625" s="37" t="e">
        <f t="shared" si="235"/>
        <v>#DIV/0!</v>
      </c>
      <c r="M625" s="37" t="e">
        <f t="shared" si="235"/>
        <v>#DIV/0!</v>
      </c>
      <c r="N625" s="37" t="e">
        <f t="shared" si="235"/>
        <v>#DIV/0!</v>
      </c>
      <c r="O625" s="37" t="e">
        <f t="shared" si="235"/>
        <v>#DIV/0!</v>
      </c>
      <c r="P625" s="37" t="e">
        <f t="shared" si="235"/>
        <v>#DIV/0!</v>
      </c>
      <c r="Q625" s="669" t="e">
        <f t="shared" ref="Q625" si="236">SUM(Q623:Q624)</f>
        <v>#DIV/0!</v>
      </c>
      <c r="R625" s="182"/>
      <c r="S625" s="182"/>
      <c r="T625" s="182"/>
      <c r="U625" s="182"/>
      <c r="V625" s="182"/>
      <c r="W625" s="182"/>
      <c r="X625" s="182"/>
      <c r="Y625" s="182"/>
      <c r="Z625" s="182"/>
      <c r="AA625" s="182"/>
      <c r="AB625" s="182"/>
      <c r="AC625" s="182"/>
      <c r="AD625" s="182"/>
      <c r="AE625" s="182"/>
      <c r="AF625" s="182"/>
      <c r="AG625" s="182"/>
      <c r="AH625" s="182"/>
      <c r="AI625" s="182"/>
      <c r="AJ625" s="182"/>
      <c r="AK625" s="182"/>
      <c r="AL625" s="182"/>
      <c r="AM625" s="182"/>
      <c r="AN625" s="182"/>
      <c r="AO625" s="182"/>
      <c r="AP625" s="182"/>
      <c r="AQ625" s="182"/>
      <c r="AR625" s="182"/>
      <c r="AS625" s="182"/>
      <c r="AT625" s="182"/>
      <c r="AU625" s="182"/>
      <c r="AV625" s="182"/>
      <c r="AW625" s="182"/>
      <c r="AX625" s="182"/>
      <c r="AY625" s="182"/>
      <c r="AZ625" s="182"/>
      <c r="BA625" s="182"/>
      <c r="BB625" s="182"/>
      <c r="BC625" s="182"/>
      <c r="BD625" s="182"/>
      <c r="BE625" s="182"/>
    </row>
    <row r="626" spans="3:57" ht="16">
      <c r="C626" s="686" t="s">
        <v>213</v>
      </c>
      <c r="D626" s="283"/>
      <c r="E626" s="598"/>
      <c r="F626" s="598" t="e">
        <f t="shared" ref="F626:Q626" si="237">F625/F$582</f>
        <v>#DIV/0!</v>
      </c>
      <c r="G626" s="598" t="e">
        <f t="shared" si="237"/>
        <v>#DIV/0!</v>
      </c>
      <c r="H626" s="598" t="e">
        <f t="shared" si="237"/>
        <v>#DIV/0!</v>
      </c>
      <c r="I626" s="598" t="e">
        <f t="shared" si="237"/>
        <v>#DIV/0!</v>
      </c>
      <c r="J626" s="598" t="e">
        <f t="shared" si="237"/>
        <v>#DIV/0!</v>
      </c>
      <c r="K626" s="598" t="e">
        <f t="shared" si="237"/>
        <v>#DIV/0!</v>
      </c>
      <c r="L626" s="598" t="e">
        <f t="shared" si="237"/>
        <v>#DIV/0!</v>
      </c>
      <c r="M626" s="598" t="e">
        <f t="shared" si="237"/>
        <v>#DIV/0!</v>
      </c>
      <c r="N626" s="598" t="e">
        <f t="shared" si="237"/>
        <v>#DIV/0!</v>
      </c>
      <c r="O626" s="598" t="e">
        <f t="shared" si="237"/>
        <v>#DIV/0!</v>
      </c>
      <c r="P626" s="598" t="e">
        <f t="shared" si="237"/>
        <v>#DIV/0!</v>
      </c>
      <c r="Q626" s="711" t="e">
        <f t="shared" si="237"/>
        <v>#DIV/0!</v>
      </c>
      <c r="R626" s="182"/>
      <c r="S626" s="182"/>
      <c r="T626" s="182"/>
      <c r="U626" s="182"/>
      <c r="V626" s="182"/>
      <c r="W626" s="182"/>
      <c r="X626" s="182"/>
      <c r="Y626" s="182"/>
      <c r="Z626" s="182"/>
      <c r="AA626" s="182"/>
      <c r="AB626" s="182"/>
      <c r="AC626" s="182"/>
      <c r="AD626" s="182"/>
      <c r="AE626" s="182"/>
      <c r="AF626" s="182"/>
      <c r="AG626" s="182"/>
      <c r="AH626" s="182"/>
      <c r="AI626" s="182"/>
      <c r="AJ626" s="182"/>
      <c r="AK626" s="182"/>
      <c r="AL626" s="182"/>
      <c r="AM626" s="182"/>
      <c r="AN626" s="182"/>
      <c r="AO626" s="182"/>
      <c r="AP626" s="182"/>
      <c r="AQ626" s="182"/>
      <c r="AR626" s="182"/>
      <c r="AS626" s="182"/>
      <c r="AT626" s="182"/>
      <c r="AU626" s="182"/>
      <c r="AV626" s="182"/>
      <c r="AW626" s="182"/>
      <c r="AX626" s="182"/>
      <c r="AY626" s="182"/>
      <c r="AZ626" s="182"/>
      <c r="BA626" s="182"/>
      <c r="BB626" s="182"/>
      <c r="BC626" s="182"/>
      <c r="BD626" s="182"/>
      <c r="BE626" s="182"/>
    </row>
    <row r="627" spans="3:57" ht="16">
      <c r="C627" s="668" t="s">
        <v>214</v>
      </c>
      <c r="D627" s="37"/>
      <c r="E627" s="37"/>
      <c r="F627" s="37" t="e">
        <f t="shared" ref="F627:Q627" si="238">F626*HLOOKUP(F621,$D581:$BA582,2,FALSE)</f>
        <v>#DIV/0!</v>
      </c>
      <c r="G627" s="37" t="e">
        <f t="shared" si="238"/>
        <v>#DIV/0!</v>
      </c>
      <c r="H627" s="37" t="e">
        <f t="shared" si="238"/>
        <v>#DIV/0!</v>
      </c>
      <c r="I627" s="37" t="e">
        <f t="shared" si="238"/>
        <v>#DIV/0!</v>
      </c>
      <c r="J627" s="37" t="e">
        <f t="shared" si="238"/>
        <v>#DIV/0!</v>
      </c>
      <c r="K627" s="37" t="e">
        <f t="shared" si="238"/>
        <v>#DIV/0!</v>
      </c>
      <c r="L627" s="37" t="e">
        <f t="shared" si="238"/>
        <v>#DIV/0!</v>
      </c>
      <c r="M627" s="37" t="e">
        <f t="shared" si="238"/>
        <v>#DIV/0!</v>
      </c>
      <c r="N627" s="37" t="e">
        <f t="shared" si="238"/>
        <v>#DIV/0!</v>
      </c>
      <c r="O627" s="37" t="e">
        <f t="shared" si="238"/>
        <v>#DIV/0!</v>
      </c>
      <c r="P627" s="37" t="e">
        <f t="shared" si="238"/>
        <v>#DIV/0!</v>
      </c>
      <c r="Q627" s="669" t="e">
        <f t="shared" si="238"/>
        <v>#DIV/0!</v>
      </c>
      <c r="R627" s="182"/>
      <c r="S627" s="182"/>
      <c r="T627" s="182"/>
      <c r="U627" s="182"/>
      <c r="V627" s="182"/>
      <c r="W627" s="182"/>
      <c r="X627" s="182"/>
      <c r="Y627" s="182"/>
      <c r="Z627" s="182"/>
      <c r="AA627" s="182"/>
      <c r="AB627" s="182"/>
      <c r="AC627" s="182"/>
      <c r="AD627" s="182"/>
      <c r="AE627" s="182"/>
      <c r="AF627" s="182"/>
      <c r="AG627" s="182"/>
      <c r="AH627" s="182"/>
      <c r="AI627" s="182"/>
      <c r="AJ627" s="182"/>
      <c r="AK627" s="182"/>
      <c r="AL627" s="182"/>
      <c r="AM627" s="182"/>
      <c r="AN627" s="182"/>
      <c r="AO627" s="182"/>
      <c r="AP627" s="182"/>
      <c r="AQ627" s="182"/>
      <c r="AR627" s="182"/>
      <c r="AS627" s="182"/>
      <c r="AT627" s="182"/>
      <c r="AU627" s="182"/>
      <c r="AV627" s="182"/>
      <c r="AW627" s="182"/>
      <c r="AX627" s="182"/>
      <c r="AY627" s="182"/>
      <c r="AZ627" s="182"/>
      <c r="BA627" s="182"/>
      <c r="BB627" s="182"/>
      <c r="BC627" s="182"/>
      <c r="BD627" s="182"/>
      <c r="BE627" s="182"/>
    </row>
    <row r="628" spans="3:57">
      <c r="C628" s="664"/>
      <c r="D628" s="283"/>
      <c r="E628" s="283"/>
      <c r="F628" s="283"/>
      <c r="G628" s="283"/>
      <c r="H628" s="283"/>
      <c r="I628" s="283"/>
      <c r="J628" s="283"/>
      <c r="K628" s="283"/>
      <c r="L628" s="283"/>
      <c r="M628" s="283"/>
      <c r="N628" s="283"/>
      <c r="O628" s="283"/>
      <c r="P628" s="283"/>
      <c r="Q628" s="667"/>
      <c r="R628" s="182"/>
      <c r="S628" s="182"/>
      <c r="T628" s="182"/>
      <c r="U628" s="182"/>
      <c r="V628" s="182"/>
      <c r="W628" s="182"/>
      <c r="X628" s="182"/>
      <c r="Y628" s="182"/>
      <c r="Z628" s="182"/>
      <c r="AA628" s="182"/>
      <c r="AB628" s="182"/>
      <c r="AC628" s="182"/>
      <c r="AD628" s="182"/>
      <c r="AE628" s="182"/>
      <c r="AF628" s="182"/>
      <c r="AG628" s="182"/>
      <c r="AH628" s="182"/>
      <c r="AI628" s="182"/>
      <c r="AJ628" s="182"/>
      <c r="AK628" s="182"/>
      <c r="AL628" s="182"/>
      <c r="AM628" s="182"/>
      <c r="AN628" s="182"/>
      <c r="AO628" s="182"/>
      <c r="AP628" s="182"/>
      <c r="AQ628" s="182"/>
      <c r="AR628" s="182"/>
      <c r="AS628" s="182"/>
      <c r="AT628" s="182"/>
      <c r="AU628" s="182"/>
      <c r="AV628" s="182"/>
      <c r="AW628" s="182"/>
      <c r="AX628" s="182"/>
      <c r="AY628" s="182"/>
      <c r="AZ628" s="182"/>
      <c r="BA628" s="182"/>
      <c r="BB628" s="182"/>
      <c r="BC628" s="182"/>
      <c r="BD628" s="182"/>
      <c r="BE628" s="182"/>
    </row>
    <row r="629" spans="3:57">
      <c r="C629" s="664">
        <v>0</v>
      </c>
      <c r="D629" s="283"/>
      <c r="E629" s="283"/>
      <c r="F629" s="283"/>
      <c r="G629" s="283"/>
      <c r="H629" s="283"/>
      <c r="I629" s="283"/>
      <c r="J629" s="283"/>
      <c r="K629" s="283"/>
      <c r="L629" s="283"/>
      <c r="M629" s="283"/>
      <c r="N629" s="283"/>
      <c r="O629" s="283"/>
      <c r="P629" s="283"/>
      <c r="Q629" s="667"/>
      <c r="R629" s="182"/>
      <c r="S629" s="182"/>
      <c r="T629" s="182"/>
      <c r="U629" s="182"/>
      <c r="V629" s="182"/>
      <c r="W629" s="182"/>
      <c r="X629" s="182"/>
      <c r="Y629" s="182"/>
      <c r="Z629" s="182"/>
      <c r="AA629" s="182"/>
      <c r="AB629" s="182"/>
      <c r="AC629" s="182"/>
      <c r="AD629" s="182"/>
      <c r="AE629" s="182"/>
      <c r="AF629" s="182"/>
      <c r="AG629" s="182"/>
      <c r="AH629" s="182"/>
      <c r="AI629" s="182"/>
      <c r="AJ629" s="182"/>
      <c r="AK629" s="182"/>
      <c r="AL629" s="182"/>
      <c r="AM629" s="182"/>
      <c r="AN629" s="182"/>
      <c r="AO629" s="182"/>
      <c r="AP629" s="182"/>
      <c r="AQ629" s="182"/>
      <c r="AR629" s="182"/>
      <c r="AS629" s="182"/>
      <c r="AT629" s="182"/>
      <c r="AU629" s="182"/>
      <c r="AV629" s="182"/>
      <c r="AW629" s="182"/>
      <c r="AX629" s="182"/>
      <c r="AY629" s="182"/>
      <c r="AZ629" s="182"/>
      <c r="BA629" s="182"/>
      <c r="BB629" s="182"/>
      <c r="BC629" s="182"/>
      <c r="BD629" s="182"/>
      <c r="BE629" s="182"/>
    </row>
    <row r="630" spans="3:57">
      <c r="C630" s="664">
        <v>1</v>
      </c>
      <c r="D630" s="283"/>
      <c r="E630" s="283"/>
      <c r="F630" s="283" t="e">
        <f t="shared" ref="F630:Q639" si="239">-F$626*F$619*HLOOKUP((F$618+$C630),$D$581:$BA$582,2,FALSE)</f>
        <v>#DIV/0!</v>
      </c>
      <c r="G630" s="283" t="e">
        <f t="shared" si="239"/>
        <v>#DIV/0!</v>
      </c>
      <c r="H630" s="283" t="e">
        <f t="shared" si="239"/>
        <v>#DIV/0!</v>
      </c>
      <c r="I630" s="283" t="e">
        <f t="shared" si="239"/>
        <v>#DIV/0!</v>
      </c>
      <c r="J630" s="283" t="e">
        <f t="shared" si="239"/>
        <v>#DIV/0!</v>
      </c>
      <c r="K630" s="283" t="e">
        <f t="shared" si="239"/>
        <v>#DIV/0!</v>
      </c>
      <c r="L630" s="283" t="e">
        <f t="shared" si="239"/>
        <v>#DIV/0!</v>
      </c>
      <c r="M630" s="283" t="e">
        <f t="shared" si="239"/>
        <v>#DIV/0!</v>
      </c>
      <c r="N630" s="283" t="e">
        <f t="shared" si="239"/>
        <v>#DIV/0!</v>
      </c>
      <c r="O630" s="283" t="e">
        <f t="shared" si="239"/>
        <v>#DIV/0!</v>
      </c>
      <c r="P630" s="283" t="e">
        <f t="shared" si="239"/>
        <v>#DIV/0!</v>
      </c>
      <c r="Q630" s="667" t="e">
        <f t="shared" si="239"/>
        <v>#DIV/0!</v>
      </c>
      <c r="R630" s="182"/>
      <c r="S630" s="182"/>
      <c r="T630" s="182"/>
      <c r="U630" s="182"/>
      <c r="V630" s="182"/>
      <c r="W630" s="182"/>
      <c r="X630" s="182"/>
      <c r="Y630" s="182"/>
      <c r="Z630" s="182"/>
      <c r="AA630" s="182"/>
      <c r="AB630" s="182"/>
      <c r="AC630" s="182"/>
      <c r="AD630" s="182"/>
      <c r="AE630" s="182"/>
      <c r="AF630" s="182"/>
      <c r="AG630" s="182"/>
      <c r="AH630" s="182"/>
      <c r="AI630" s="182"/>
      <c r="AJ630" s="182"/>
      <c r="AK630" s="182"/>
      <c r="AL630" s="182"/>
      <c r="AM630" s="182"/>
      <c r="AN630" s="182"/>
      <c r="AO630" s="182"/>
      <c r="AP630" s="182"/>
      <c r="AQ630" s="182"/>
      <c r="AR630" s="182"/>
      <c r="AS630" s="182"/>
      <c r="AT630" s="182"/>
      <c r="AU630" s="182"/>
      <c r="AV630" s="182"/>
      <c r="AW630" s="182"/>
      <c r="AX630" s="182"/>
      <c r="AY630" s="182"/>
      <c r="AZ630" s="182"/>
      <c r="BA630" s="182"/>
      <c r="BB630" s="182"/>
      <c r="BC630" s="182"/>
      <c r="BD630" s="182"/>
      <c r="BE630" s="182"/>
    </row>
    <row r="631" spans="3:57">
      <c r="C631" s="664">
        <v>2</v>
      </c>
      <c r="D631" s="283"/>
      <c r="E631" s="283"/>
      <c r="F631" s="283" t="e">
        <f t="shared" si="239"/>
        <v>#DIV/0!</v>
      </c>
      <c r="G631" s="283" t="e">
        <f t="shared" si="239"/>
        <v>#DIV/0!</v>
      </c>
      <c r="H631" s="283" t="e">
        <f t="shared" si="239"/>
        <v>#DIV/0!</v>
      </c>
      <c r="I631" s="283" t="e">
        <f t="shared" si="239"/>
        <v>#DIV/0!</v>
      </c>
      <c r="J631" s="283" t="e">
        <f t="shared" si="239"/>
        <v>#DIV/0!</v>
      </c>
      <c r="K631" s="283" t="e">
        <f t="shared" si="239"/>
        <v>#DIV/0!</v>
      </c>
      <c r="L631" s="283" t="e">
        <f t="shared" si="239"/>
        <v>#DIV/0!</v>
      </c>
      <c r="M631" s="283" t="e">
        <f t="shared" si="239"/>
        <v>#DIV/0!</v>
      </c>
      <c r="N631" s="283" t="e">
        <f t="shared" si="239"/>
        <v>#DIV/0!</v>
      </c>
      <c r="O631" s="283" t="e">
        <f t="shared" si="239"/>
        <v>#DIV/0!</v>
      </c>
      <c r="P631" s="283" t="e">
        <f t="shared" si="239"/>
        <v>#DIV/0!</v>
      </c>
      <c r="Q631" s="667" t="e">
        <f t="shared" si="239"/>
        <v>#DIV/0!</v>
      </c>
      <c r="R631" s="182"/>
      <c r="S631" s="182"/>
      <c r="T631" s="182"/>
      <c r="U631" s="182"/>
      <c r="V631" s="182"/>
      <c r="W631" s="182"/>
      <c r="X631" s="182"/>
      <c r="Y631" s="182"/>
      <c r="Z631" s="182"/>
      <c r="AA631" s="182"/>
      <c r="AB631" s="182"/>
      <c r="AC631" s="182"/>
      <c r="AD631" s="182"/>
      <c r="AE631" s="182"/>
      <c r="AF631" s="182"/>
      <c r="AG631" s="182"/>
      <c r="AH631" s="182"/>
      <c r="AI631" s="182"/>
      <c r="AJ631" s="182"/>
      <c r="AK631" s="182"/>
      <c r="AL631" s="182"/>
      <c r="AM631" s="182"/>
      <c r="AN631" s="182"/>
      <c r="AO631" s="182"/>
      <c r="AP631" s="182"/>
      <c r="AQ631" s="182"/>
      <c r="AR631" s="182"/>
      <c r="AS631" s="182"/>
      <c r="AT631" s="182"/>
      <c r="AU631" s="182"/>
      <c r="AV631" s="182"/>
      <c r="AW631" s="182"/>
      <c r="AX631" s="182"/>
      <c r="AY631" s="182"/>
      <c r="AZ631" s="182"/>
      <c r="BA631" s="182"/>
      <c r="BB631" s="182"/>
      <c r="BC631" s="182"/>
      <c r="BD631" s="182"/>
      <c r="BE631" s="182"/>
    </row>
    <row r="632" spans="3:57">
      <c r="C632" s="664">
        <v>3</v>
      </c>
      <c r="D632" s="283"/>
      <c r="E632" s="283"/>
      <c r="F632" s="283" t="e">
        <f t="shared" si="239"/>
        <v>#DIV/0!</v>
      </c>
      <c r="G632" s="283" t="e">
        <f t="shared" si="239"/>
        <v>#DIV/0!</v>
      </c>
      <c r="H632" s="283" t="e">
        <f t="shared" si="239"/>
        <v>#DIV/0!</v>
      </c>
      <c r="I632" s="283" t="e">
        <f t="shared" si="239"/>
        <v>#DIV/0!</v>
      </c>
      <c r="J632" s="283" t="e">
        <f t="shared" si="239"/>
        <v>#DIV/0!</v>
      </c>
      <c r="K632" s="283" t="e">
        <f t="shared" si="239"/>
        <v>#DIV/0!</v>
      </c>
      <c r="L632" s="283" t="e">
        <f t="shared" si="239"/>
        <v>#DIV/0!</v>
      </c>
      <c r="M632" s="283" t="e">
        <f t="shared" si="239"/>
        <v>#DIV/0!</v>
      </c>
      <c r="N632" s="283" t="e">
        <f t="shared" si="239"/>
        <v>#DIV/0!</v>
      </c>
      <c r="O632" s="283" t="e">
        <f t="shared" si="239"/>
        <v>#DIV/0!</v>
      </c>
      <c r="P632" s="283" t="e">
        <f t="shared" si="239"/>
        <v>#DIV/0!</v>
      </c>
      <c r="Q632" s="667" t="e">
        <f t="shared" si="239"/>
        <v>#DIV/0!</v>
      </c>
      <c r="R632" s="182"/>
      <c r="S632" s="182"/>
      <c r="T632" s="182"/>
      <c r="U632" s="182"/>
      <c r="V632" s="182"/>
      <c r="W632" s="182"/>
      <c r="X632" s="182"/>
      <c r="Y632" s="182"/>
      <c r="Z632" s="182"/>
      <c r="AA632" s="182"/>
      <c r="AB632" s="182"/>
      <c r="AC632" s="182"/>
      <c r="AD632" s="182"/>
      <c r="AE632" s="182"/>
      <c r="AF632" s="182"/>
      <c r="AG632" s="182"/>
      <c r="AH632" s="182"/>
      <c r="AI632" s="182"/>
      <c r="AJ632" s="182"/>
      <c r="AK632" s="182"/>
      <c r="AL632" s="182"/>
      <c r="AM632" s="182"/>
      <c r="AN632" s="182"/>
      <c r="AO632" s="182"/>
      <c r="AP632" s="182"/>
      <c r="AQ632" s="182"/>
      <c r="AR632" s="182"/>
      <c r="AS632" s="182"/>
      <c r="AT632" s="182"/>
      <c r="AU632" s="182"/>
      <c r="AV632" s="182"/>
      <c r="AW632" s="182"/>
      <c r="AX632" s="182"/>
      <c r="AY632" s="182"/>
      <c r="AZ632" s="182"/>
      <c r="BA632" s="182"/>
      <c r="BB632" s="182"/>
      <c r="BC632" s="182"/>
      <c r="BD632" s="182"/>
      <c r="BE632" s="182"/>
    </row>
    <row r="633" spans="3:57">
      <c r="C633" s="664">
        <v>4</v>
      </c>
      <c r="D633" s="283"/>
      <c r="E633" s="283"/>
      <c r="F633" s="283" t="e">
        <f t="shared" si="239"/>
        <v>#DIV/0!</v>
      </c>
      <c r="G633" s="283" t="e">
        <f t="shared" si="239"/>
        <v>#DIV/0!</v>
      </c>
      <c r="H633" s="283" t="e">
        <f t="shared" si="239"/>
        <v>#DIV/0!</v>
      </c>
      <c r="I633" s="283" t="e">
        <f t="shared" si="239"/>
        <v>#DIV/0!</v>
      </c>
      <c r="J633" s="283" t="e">
        <f t="shared" si="239"/>
        <v>#DIV/0!</v>
      </c>
      <c r="K633" s="283" t="e">
        <f t="shared" si="239"/>
        <v>#DIV/0!</v>
      </c>
      <c r="L633" s="283" t="e">
        <f t="shared" si="239"/>
        <v>#DIV/0!</v>
      </c>
      <c r="M633" s="283" t="e">
        <f t="shared" si="239"/>
        <v>#DIV/0!</v>
      </c>
      <c r="N633" s="283" t="e">
        <f t="shared" si="239"/>
        <v>#DIV/0!</v>
      </c>
      <c r="O633" s="283" t="e">
        <f t="shared" si="239"/>
        <v>#DIV/0!</v>
      </c>
      <c r="P633" s="283" t="e">
        <f t="shared" si="239"/>
        <v>#DIV/0!</v>
      </c>
      <c r="Q633" s="667" t="e">
        <f t="shared" si="239"/>
        <v>#DIV/0!</v>
      </c>
      <c r="R633" s="182"/>
      <c r="S633" s="182"/>
      <c r="T633" s="182"/>
      <c r="U633" s="182"/>
      <c r="V633" s="182"/>
      <c r="W633" s="182"/>
      <c r="X633" s="182"/>
      <c r="Y633" s="182"/>
      <c r="Z633" s="182"/>
      <c r="AA633" s="182"/>
      <c r="AB633" s="182"/>
      <c r="AC633" s="182"/>
      <c r="AD633" s="182"/>
      <c r="AE633" s="182"/>
      <c r="AF633" s="182"/>
      <c r="AG633" s="182"/>
      <c r="AH633" s="182"/>
      <c r="AI633" s="182"/>
      <c r="AJ633" s="182"/>
      <c r="AK633" s="182"/>
      <c r="AL633" s="182"/>
      <c r="AM633" s="182"/>
      <c r="AN633" s="182"/>
      <c r="AO633" s="182"/>
      <c r="AP633" s="182"/>
      <c r="AQ633" s="182"/>
      <c r="AR633" s="182"/>
      <c r="AS633" s="182"/>
      <c r="AT633" s="182"/>
      <c r="AU633" s="182"/>
      <c r="AV633" s="182"/>
      <c r="AW633" s="182"/>
      <c r="AX633" s="182"/>
      <c r="AY633" s="182"/>
      <c r="AZ633" s="182"/>
      <c r="BA633" s="182"/>
      <c r="BB633" s="182"/>
      <c r="BC633" s="182"/>
      <c r="BD633" s="182"/>
      <c r="BE633" s="182"/>
    </row>
    <row r="634" spans="3:57">
      <c r="C634" s="664">
        <v>5</v>
      </c>
      <c r="D634" s="283"/>
      <c r="E634" s="283"/>
      <c r="F634" s="283" t="e">
        <f t="shared" si="239"/>
        <v>#DIV/0!</v>
      </c>
      <c r="G634" s="283" t="e">
        <f t="shared" si="239"/>
        <v>#DIV/0!</v>
      </c>
      <c r="H634" s="283" t="e">
        <f t="shared" si="239"/>
        <v>#DIV/0!</v>
      </c>
      <c r="I634" s="283" t="e">
        <f t="shared" si="239"/>
        <v>#DIV/0!</v>
      </c>
      <c r="J634" s="283" t="e">
        <f t="shared" si="239"/>
        <v>#DIV/0!</v>
      </c>
      <c r="K634" s="283" t="e">
        <f t="shared" si="239"/>
        <v>#DIV/0!</v>
      </c>
      <c r="L634" s="283" t="e">
        <f t="shared" si="239"/>
        <v>#DIV/0!</v>
      </c>
      <c r="M634" s="283" t="e">
        <f t="shared" si="239"/>
        <v>#DIV/0!</v>
      </c>
      <c r="N634" s="283" t="e">
        <f t="shared" si="239"/>
        <v>#DIV/0!</v>
      </c>
      <c r="O634" s="283" t="e">
        <f t="shared" si="239"/>
        <v>#DIV/0!</v>
      </c>
      <c r="P634" s="283" t="e">
        <f t="shared" si="239"/>
        <v>#DIV/0!</v>
      </c>
      <c r="Q634" s="667" t="e">
        <f t="shared" si="239"/>
        <v>#DIV/0!</v>
      </c>
      <c r="R634" s="182"/>
      <c r="S634" s="182"/>
      <c r="T634" s="182"/>
      <c r="U634" s="182"/>
      <c r="V634" s="182"/>
      <c r="W634" s="182"/>
      <c r="X634" s="182"/>
      <c r="Y634" s="182"/>
      <c r="Z634" s="182"/>
      <c r="AA634" s="182"/>
      <c r="AB634" s="182"/>
      <c r="AC634" s="182"/>
      <c r="AD634" s="182"/>
      <c r="AE634" s="182"/>
      <c r="AF634" s="182"/>
      <c r="AG634" s="182"/>
      <c r="AH634" s="182"/>
      <c r="AI634" s="182"/>
      <c r="AJ634" s="182"/>
      <c r="AK634" s="182"/>
      <c r="AL634" s="182"/>
      <c r="AM634" s="182"/>
      <c r="AN634" s="182"/>
      <c r="AO634" s="182"/>
      <c r="AP634" s="182"/>
      <c r="AQ634" s="182"/>
      <c r="AR634" s="182"/>
      <c r="AS634" s="182"/>
      <c r="AT634" s="182"/>
      <c r="AU634" s="182"/>
      <c r="AV634" s="182"/>
      <c r="AW634" s="182"/>
      <c r="AX634" s="182"/>
      <c r="AY634" s="182"/>
      <c r="AZ634" s="182"/>
      <c r="BA634" s="182"/>
      <c r="BB634" s="182"/>
      <c r="BC634" s="182"/>
      <c r="BD634" s="182"/>
      <c r="BE634" s="182"/>
    </row>
    <row r="635" spans="3:57">
      <c r="C635" s="664">
        <v>6</v>
      </c>
      <c r="D635" s="283"/>
      <c r="E635" s="283"/>
      <c r="F635" s="283" t="e">
        <f t="shared" si="239"/>
        <v>#DIV/0!</v>
      </c>
      <c r="G635" s="283" t="e">
        <f t="shared" si="239"/>
        <v>#DIV/0!</v>
      </c>
      <c r="H635" s="283" t="e">
        <f t="shared" si="239"/>
        <v>#DIV/0!</v>
      </c>
      <c r="I635" s="283" t="e">
        <f t="shared" si="239"/>
        <v>#DIV/0!</v>
      </c>
      <c r="J635" s="283" t="e">
        <f t="shared" si="239"/>
        <v>#DIV/0!</v>
      </c>
      <c r="K635" s="283" t="e">
        <f t="shared" si="239"/>
        <v>#DIV/0!</v>
      </c>
      <c r="L635" s="283" t="e">
        <f t="shared" si="239"/>
        <v>#DIV/0!</v>
      </c>
      <c r="M635" s="283" t="e">
        <f t="shared" si="239"/>
        <v>#DIV/0!</v>
      </c>
      <c r="N635" s="283" t="e">
        <f t="shared" si="239"/>
        <v>#DIV/0!</v>
      </c>
      <c r="O635" s="283" t="e">
        <f t="shared" si="239"/>
        <v>#DIV/0!</v>
      </c>
      <c r="P635" s="283" t="e">
        <f t="shared" si="239"/>
        <v>#DIV/0!</v>
      </c>
      <c r="Q635" s="667" t="e">
        <f t="shared" si="239"/>
        <v>#DIV/0!</v>
      </c>
      <c r="R635" s="182"/>
      <c r="S635" s="182"/>
      <c r="T635" s="182"/>
      <c r="U635" s="182"/>
      <c r="V635" s="182"/>
      <c r="W635" s="182"/>
      <c r="X635" s="182"/>
      <c r="Y635" s="182"/>
      <c r="Z635" s="182"/>
      <c r="AA635" s="182"/>
      <c r="AB635" s="182"/>
      <c r="AC635" s="182"/>
      <c r="AD635" s="182"/>
      <c r="AE635" s="182"/>
      <c r="AF635" s="182"/>
      <c r="AG635" s="182"/>
      <c r="AH635" s="182"/>
      <c r="AI635" s="182"/>
      <c r="AJ635" s="182"/>
      <c r="AK635" s="182"/>
      <c r="AL635" s="182"/>
      <c r="AM635" s="182"/>
      <c r="AN635" s="182"/>
      <c r="AO635" s="182"/>
      <c r="AP635" s="182"/>
      <c r="AQ635" s="182"/>
      <c r="AR635" s="182"/>
      <c r="AS635" s="182"/>
      <c r="AT635" s="182"/>
      <c r="AU635" s="182"/>
      <c r="AV635" s="182"/>
      <c r="AW635" s="182"/>
      <c r="AX635" s="182"/>
      <c r="AY635" s="182"/>
      <c r="AZ635" s="182"/>
      <c r="BA635" s="182"/>
      <c r="BB635" s="182"/>
      <c r="BC635" s="182"/>
      <c r="BD635" s="182"/>
      <c r="BE635" s="182"/>
    </row>
    <row r="636" spans="3:57">
      <c r="C636" s="664">
        <v>7</v>
      </c>
      <c r="D636" s="283"/>
      <c r="E636" s="283"/>
      <c r="F636" s="283" t="e">
        <f t="shared" si="239"/>
        <v>#DIV/0!</v>
      </c>
      <c r="G636" s="283" t="e">
        <f t="shared" si="239"/>
        <v>#DIV/0!</v>
      </c>
      <c r="H636" s="283" t="e">
        <f t="shared" si="239"/>
        <v>#DIV/0!</v>
      </c>
      <c r="I636" s="283" t="e">
        <f t="shared" si="239"/>
        <v>#DIV/0!</v>
      </c>
      <c r="J636" s="283" t="e">
        <f t="shared" si="239"/>
        <v>#DIV/0!</v>
      </c>
      <c r="K636" s="283" t="e">
        <f t="shared" si="239"/>
        <v>#DIV/0!</v>
      </c>
      <c r="L636" s="283" t="e">
        <f t="shared" si="239"/>
        <v>#DIV/0!</v>
      </c>
      <c r="M636" s="283" t="e">
        <f t="shared" si="239"/>
        <v>#DIV/0!</v>
      </c>
      <c r="N636" s="283" t="e">
        <f t="shared" si="239"/>
        <v>#DIV/0!</v>
      </c>
      <c r="O636" s="283" t="e">
        <f t="shared" si="239"/>
        <v>#DIV/0!</v>
      </c>
      <c r="P636" s="283" t="e">
        <f t="shared" si="239"/>
        <v>#DIV/0!</v>
      </c>
      <c r="Q636" s="667" t="e">
        <f t="shared" si="239"/>
        <v>#DIV/0!</v>
      </c>
      <c r="R636" s="182"/>
      <c r="S636" s="182"/>
      <c r="T636" s="182"/>
      <c r="U636" s="182"/>
      <c r="V636" s="182"/>
      <c r="W636" s="182"/>
      <c r="X636" s="182"/>
      <c r="Y636" s="182"/>
      <c r="Z636" s="182"/>
      <c r="AA636" s="182"/>
      <c r="AB636" s="182"/>
      <c r="AC636" s="182"/>
      <c r="AD636" s="182"/>
      <c r="AE636" s="182"/>
      <c r="AF636" s="182"/>
      <c r="AG636" s="182"/>
      <c r="AH636" s="182"/>
      <c r="AI636" s="182"/>
      <c r="AJ636" s="182"/>
      <c r="AK636" s="182"/>
      <c r="AL636" s="182"/>
      <c r="AM636" s="182"/>
      <c r="AN636" s="182"/>
      <c r="AO636" s="182"/>
      <c r="AP636" s="182"/>
      <c r="AQ636" s="182"/>
      <c r="AR636" s="182"/>
      <c r="AS636" s="182"/>
      <c r="AT636" s="182"/>
      <c r="AU636" s="182"/>
      <c r="AV636" s="182"/>
      <c r="AW636" s="182"/>
      <c r="AX636" s="182"/>
      <c r="AY636" s="182"/>
      <c r="AZ636" s="182"/>
      <c r="BA636" s="182"/>
      <c r="BB636" s="182"/>
      <c r="BC636" s="182"/>
      <c r="BD636" s="182"/>
      <c r="BE636" s="182"/>
    </row>
    <row r="637" spans="3:57">
      <c r="C637" s="664">
        <v>8</v>
      </c>
      <c r="D637" s="283"/>
      <c r="E637" s="283"/>
      <c r="F637" s="283" t="e">
        <f t="shared" si="239"/>
        <v>#DIV/0!</v>
      </c>
      <c r="G637" s="283" t="e">
        <f t="shared" si="239"/>
        <v>#DIV/0!</v>
      </c>
      <c r="H637" s="283" t="e">
        <f t="shared" si="239"/>
        <v>#DIV/0!</v>
      </c>
      <c r="I637" s="283" t="e">
        <f t="shared" si="239"/>
        <v>#DIV/0!</v>
      </c>
      <c r="J637" s="283" t="e">
        <f t="shared" si="239"/>
        <v>#DIV/0!</v>
      </c>
      <c r="K637" s="283" t="e">
        <f t="shared" si="239"/>
        <v>#DIV/0!</v>
      </c>
      <c r="L637" s="283" t="e">
        <f t="shared" si="239"/>
        <v>#DIV/0!</v>
      </c>
      <c r="M637" s="283" t="e">
        <f t="shared" si="239"/>
        <v>#DIV/0!</v>
      </c>
      <c r="N637" s="283" t="e">
        <f t="shared" si="239"/>
        <v>#DIV/0!</v>
      </c>
      <c r="O637" s="283" t="e">
        <f t="shared" si="239"/>
        <v>#DIV/0!</v>
      </c>
      <c r="P637" s="283" t="e">
        <f t="shared" si="239"/>
        <v>#DIV/0!</v>
      </c>
      <c r="Q637" s="667" t="e">
        <f t="shared" si="239"/>
        <v>#DIV/0!</v>
      </c>
      <c r="R637" s="182"/>
      <c r="S637" s="182"/>
      <c r="T637" s="182"/>
      <c r="U637" s="182"/>
      <c r="V637" s="182"/>
      <c r="W637" s="182"/>
      <c r="X637" s="182"/>
      <c r="Y637" s="182"/>
      <c r="Z637" s="182"/>
      <c r="AA637" s="182"/>
      <c r="AB637" s="182"/>
      <c r="AC637" s="182"/>
      <c r="AD637" s="182"/>
      <c r="AE637" s="182"/>
      <c r="AF637" s="182"/>
      <c r="AG637" s="182"/>
      <c r="AH637" s="182"/>
      <c r="AI637" s="182"/>
      <c r="AJ637" s="182"/>
      <c r="AK637" s="182"/>
      <c r="AL637" s="182"/>
      <c r="AM637" s="182"/>
      <c r="AN637" s="182"/>
      <c r="AO637" s="182"/>
      <c r="AP637" s="182"/>
      <c r="AQ637" s="182"/>
      <c r="AR637" s="182"/>
      <c r="AS637" s="182"/>
      <c r="AT637" s="182"/>
      <c r="AU637" s="182"/>
      <c r="AV637" s="182"/>
      <c r="AW637" s="182"/>
      <c r="AX637" s="182"/>
      <c r="AY637" s="182"/>
      <c r="AZ637" s="182"/>
      <c r="BA637" s="182"/>
      <c r="BB637" s="182"/>
      <c r="BC637" s="182"/>
      <c r="BD637" s="182"/>
      <c r="BE637" s="182"/>
    </row>
    <row r="638" spans="3:57">
      <c r="C638" s="664">
        <v>9</v>
      </c>
      <c r="D638" s="283"/>
      <c r="E638" s="283"/>
      <c r="F638" s="283" t="e">
        <f t="shared" si="239"/>
        <v>#DIV/0!</v>
      </c>
      <c r="G638" s="283" t="e">
        <f t="shared" si="239"/>
        <v>#DIV/0!</v>
      </c>
      <c r="H638" s="283" t="e">
        <f t="shared" si="239"/>
        <v>#DIV/0!</v>
      </c>
      <c r="I638" s="283" t="e">
        <f t="shared" si="239"/>
        <v>#DIV/0!</v>
      </c>
      <c r="J638" s="283" t="e">
        <f t="shared" si="239"/>
        <v>#DIV/0!</v>
      </c>
      <c r="K638" s="283" t="e">
        <f t="shared" si="239"/>
        <v>#DIV/0!</v>
      </c>
      <c r="L638" s="283" t="e">
        <f t="shared" si="239"/>
        <v>#DIV/0!</v>
      </c>
      <c r="M638" s="283" t="e">
        <f t="shared" si="239"/>
        <v>#DIV/0!</v>
      </c>
      <c r="N638" s="283" t="e">
        <f t="shared" si="239"/>
        <v>#DIV/0!</v>
      </c>
      <c r="O638" s="283" t="e">
        <f t="shared" si="239"/>
        <v>#DIV/0!</v>
      </c>
      <c r="P638" s="283" t="e">
        <f t="shared" si="239"/>
        <v>#DIV/0!</v>
      </c>
      <c r="Q638" s="667" t="e">
        <f t="shared" si="239"/>
        <v>#DIV/0!</v>
      </c>
      <c r="R638" s="182"/>
      <c r="S638" s="182"/>
      <c r="T638" s="182"/>
      <c r="U638" s="182"/>
      <c r="V638" s="182"/>
      <c r="W638" s="182"/>
      <c r="X638" s="182"/>
      <c r="Y638" s="182"/>
      <c r="Z638" s="182"/>
      <c r="AA638" s="182"/>
      <c r="AB638" s="182"/>
      <c r="AC638" s="182"/>
      <c r="AD638" s="182"/>
      <c r="AE638" s="182"/>
      <c r="AF638" s="182"/>
      <c r="AG638" s="182"/>
      <c r="AH638" s="182"/>
      <c r="AI638" s="182"/>
      <c r="AJ638" s="182"/>
      <c r="AK638" s="182"/>
      <c r="AL638" s="182"/>
      <c r="AM638" s="182"/>
      <c r="AN638" s="182"/>
      <c r="AO638" s="182"/>
      <c r="AP638" s="182"/>
      <c r="AQ638" s="182"/>
      <c r="AR638" s="182"/>
      <c r="AS638" s="182"/>
      <c r="AT638" s="182"/>
      <c r="AU638" s="182"/>
      <c r="AV638" s="182"/>
      <c r="AW638" s="182"/>
      <c r="AX638" s="182"/>
      <c r="AY638" s="182"/>
      <c r="AZ638" s="182"/>
      <c r="BA638" s="182"/>
      <c r="BB638" s="182"/>
      <c r="BC638" s="182"/>
      <c r="BD638" s="182"/>
      <c r="BE638" s="182"/>
    </row>
    <row r="639" spans="3:57">
      <c r="C639" s="664">
        <v>10</v>
      </c>
      <c r="D639" s="283"/>
      <c r="E639" s="283"/>
      <c r="F639" s="283" t="e">
        <f t="shared" si="239"/>
        <v>#DIV/0!</v>
      </c>
      <c r="G639" s="283" t="e">
        <f t="shared" si="239"/>
        <v>#DIV/0!</v>
      </c>
      <c r="H639" s="283" t="e">
        <f t="shared" si="239"/>
        <v>#DIV/0!</v>
      </c>
      <c r="I639" s="283" t="e">
        <f t="shared" si="239"/>
        <v>#DIV/0!</v>
      </c>
      <c r="J639" s="283" t="e">
        <f t="shared" si="239"/>
        <v>#DIV/0!</v>
      </c>
      <c r="K639" s="283" t="e">
        <f t="shared" si="239"/>
        <v>#DIV/0!</v>
      </c>
      <c r="L639" s="283" t="e">
        <f t="shared" si="239"/>
        <v>#DIV/0!</v>
      </c>
      <c r="M639" s="283" t="e">
        <f t="shared" si="239"/>
        <v>#DIV/0!</v>
      </c>
      <c r="N639" s="283" t="e">
        <f t="shared" si="239"/>
        <v>#DIV/0!</v>
      </c>
      <c r="O639" s="283" t="e">
        <f t="shared" si="239"/>
        <v>#DIV/0!</v>
      </c>
      <c r="P639" s="283" t="e">
        <f t="shared" si="239"/>
        <v>#DIV/0!</v>
      </c>
      <c r="Q639" s="667" t="e">
        <f t="shared" si="239"/>
        <v>#DIV/0!</v>
      </c>
      <c r="R639" s="182"/>
      <c r="S639" s="182"/>
      <c r="T639" s="182"/>
      <c r="U639" s="182"/>
      <c r="V639" s="182"/>
      <c r="W639" s="182"/>
      <c r="X639" s="182"/>
      <c r="Y639" s="182"/>
      <c r="Z639" s="182"/>
      <c r="AA639" s="182"/>
      <c r="AB639" s="182"/>
      <c r="AC639" s="182"/>
      <c r="AD639" s="182"/>
      <c r="AE639" s="182"/>
      <c r="AF639" s="182"/>
      <c r="AG639" s="182"/>
      <c r="AH639" s="182"/>
      <c r="AI639" s="182"/>
      <c r="AJ639" s="182"/>
      <c r="AK639" s="182"/>
      <c r="AL639" s="182"/>
      <c r="AM639" s="182"/>
      <c r="AN639" s="182"/>
      <c r="AO639" s="182"/>
      <c r="AP639" s="182"/>
      <c r="AQ639" s="182"/>
      <c r="AR639" s="182"/>
      <c r="AS639" s="182"/>
      <c r="AT639" s="182"/>
      <c r="AU639" s="182"/>
      <c r="AV639" s="182"/>
      <c r="AW639" s="182"/>
      <c r="AX639" s="182"/>
      <c r="AY639" s="182"/>
      <c r="AZ639" s="182"/>
      <c r="BA639" s="182"/>
      <c r="BB639" s="182"/>
      <c r="BC639" s="182"/>
      <c r="BD639" s="182"/>
      <c r="BE639" s="182"/>
    </row>
    <row r="640" spans="3:57">
      <c r="C640" s="664"/>
      <c r="D640" s="283"/>
      <c r="E640" s="283"/>
      <c r="F640" s="283"/>
      <c r="G640" s="283"/>
      <c r="H640" s="283"/>
      <c r="I640" s="283"/>
      <c r="J640" s="283"/>
      <c r="K640" s="283"/>
      <c r="L640" s="283"/>
      <c r="M640" s="283"/>
      <c r="N640" s="283"/>
      <c r="O640" s="283"/>
      <c r="P640" s="283"/>
      <c r="Q640" s="667"/>
      <c r="R640" s="182"/>
      <c r="S640" s="182"/>
      <c r="T640" s="182"/>
      <c r="U640" s="182"/>
      <c r="V640" s="182"/>
      <c r="W640" s="182"/>
      <c r="X640" s="182"/>
      <c r="Y640" s="182"/>
      <c r="Z640" s="182"/>
      <c r="AA640" s="182"/>
      <c r="AB640" s="182"/>
      <c r="AC640" s="182"/>
      <c r="AD640" s="182"/>
      <c r="AE640" s="182"/>
      <c r="AF640" s="182"/>
      <c r="AG640" s="182"/>
      <c r="AH640" s="182"/>
      <c r="AI640" s="182"/>
      <c r="AJ640" s="182"/>
      <c r="AK640" s="182"/>
      <c r="AL640" s="182"/>
      <c r="AM640" s="182"/>
      <c r="AN640" s="182"/>
      <c r="AO640" s="182"/>
      <c r="AP640" s="182"/>
      <c r="AQ640" s="182"/>
      <c r="AR640" s="182"/>
      <c r="AS640" s="182"/>
      <c r="AT640" s="182"/>
      <c r="AU640" s="182"/>
      <c r="AV640" s="182"/>
      <c r="AW640" s="182"/>
      <c r="AX640" s="182"/>
      <c r="AY640" s="182"/>
      <c r="AZ640" s="182"/>
      <c r="BA640" s="182"/>
      <c r="BB640" s="182"/>
      <c r="BC640" s="182"/>
      <c r="BD640" s="182"/>
      <c r="BE640" s="182"/>
    </row>
    <row r="641" spans="3:57" ht="16">
      <c r="C641" s="664" t="s">
        <v>173</v>
      </c>
      <c r="D641" s="283"/>
      <c r="E641" s="283"/>
      <c r="F641" s="283">
        <f>E630+D631</f>
        <v>0</v>
      </c>
      <c r="G641" s="283" t="e">
        <f>F630+E631+D632</f>
        <v>#DIV/0!</v>
      </c>
      <c r="H641" s="283" t="e">
        <f>G630+F631+E632+D633</f>
        <v>#DIV/0!</v>
      </c>
      <c r="I641" s="283" t="e">
        <f>H630+G631+F632+E633+D634</f>
        <v>#DIV/0!</v>
      </c>
      <c r="J641" s="283" t="e">
        <f>I630+H631+G632+F633+E634+D635</f>
        <v>#DIV/0!</v>
      </c>
      <c r="K641" s="283" t="e">
        <f>J630+I631+H632+G633+F634+E635+D636</f>
        <v>#DIV/0!</v>
      </c>
      <c r="L641" s="283" t="e">
        <f>K630+J631+I632+H633+G634+F635+E636+D637</f>
        <v>#DIV/0!</v>
      </c>
      <c r="M641" s="283" t="e">
        <f>L630+K631+J632+I633+H634+G635+F636+E637+D638</f>
        <v>#DIV/0!</v>
      </c>
      <c r="N641" s="283" t="e">
        <f>M630+L631+K632+J633+I634+H635+G636+F637+E638+D639</f>
        <v>#DIV/0!</v>
      </c>
      <c r="O641" s="283" t="e">
        <f>N630+M631+L632+K633+J634+I635+H636+G637+F638+E639</f>
        <v>#DIV/0!</v>
      </c>
      <c r="P641" s="283" t="e">
        <f>O630+N631+M632+L633+K634+J635+I636+H637+G638+F639</f>
        <v>#DIV/0!</v>
      </c>
      <c r="Q641" s="667" t="e">
        <f>P630+O631+N632+M633+L634+K635+J636+I637+H638+G639</f>
        <v>#DIV/0!</v>
      </c>
      <c r="R641" s="283"/>
      <c r="S641" s="283"/>
      <c r="T641" s="182"/>
      <c r="U641" s="182"/>
      <c r="V641" s="182"/>
      <c r="W641" s="182"/>
      <c r="X641" s="182"/>
      <c r="Y641" s="182"/>
      <c r="Z641" s="182"/>
      <c r="AA641" s="182"/>
      <c r="AB641" s="182"/>
      <c r="AC641" s="182"/>
      <c r="AD641" s="182"/>
      <c r="AE641" s="182"/>
      <c r="AF641" s="182"/>
      <c r="AG641" s="182"/>
      <c r="AH641" s="182"/>
      <c r="AI641" s="182"/>
      <c r="AJ641" s="182"/>
      <c r="AK641" s="182"/>
      <c r="AL641" s="182"/>
      <c r="AM641" s="182"/>
      <c r="AN641" s="182"/>
      <c r="AO641" s="182"/>
      <c r="AP641" s="182"/>
      <c r="AQ641" s="182"/>
      <c r="AR641" s="182"/>
      <c r="AS641" s="182"/>
      <c r="AT641" s="182"/>
      <c r="AU641" s="182"/>
      <c r="AV641" s="182"/>
      <c r="AW641" s="182"/>
      <c r="AX641" s="182"/>
      <c r="AY641" s="182"/>
      <c r="AZ641" s="182"/>
      <c r="BA641" s="182"/>
      <c r="BB641" s="182"/>
      <c r="BC641" s="182"/>
      <c r="BD641" s="182"/>
      <c r="BE641" s="182"/>
    </row>
    <row r="642" spans="3:57">
      <c r="C642" s="664"/>
      <c r="D642" s="283"/>
      <c r="E642" s="283"/>
      <c r="F642" s="283"/>
      <c r="G642" s="283"/>
      <c r="H642" s="283"/>
      <c r="I642" s="283"/>
      <c r="J642" s="283"/>
      <c r="K642" s="283"/>
      <c r="L642" s="283"/>
      <c r="M642" s="283"/>
      <c r="N642" s="283"/>
      <c r="O642" s="283"/>
      <c r="P642" s="283"/>
      <c r="Q642" s="667"/>
      <c r="R642" s="283"/>
      <c r="S642" s="283"/>
      <c r="T642" s="182"/>
      <c r="U642" s="182"/>
      <c r="V642" s="182"/>
      <c r="W642" s="182"/>
      <c r="X642" s="182"/>
      <c r="Y642" s="182"/>
      <c r="Z642" s="182"/>
      <c r="AA642" s="182"/>
      <c r="AB642" s="182"/>
      <c r="AC642" s="182"/>
      <c r="AD642" s="182"/>
      <c r="AE642" s="182"/>
      <c r="AF642" s="182"/>
      <c r="AG642" s="182"/>
      <c r="AH642" s="182"/>
      <c r="AI642" s="182"/>
      <c r="AJ642" s="182"/>
      <c r="AK642" s="182"/>
      <c r="AL642" s="182"/>
      <c r="AM642" s="182"/>
      <c r="AN642" s="182"/>
      <c r="AO642" s="182"/>
      <c r="AP642" s="182"/>
      <c r="AQ642" s="182"/>
      <c r="AR642" s="182"/>
      <c r="AS642" s="182"/>
      <c r="AT642" s="182"/>
      <c r="AU642" s="182"/>
      <c r="AV642" s="182"/>
      <c r="AW642" s="182"/>
      <c r="AX642" s="182"/>
      <c r="AY642" s="182"/>
      <c r="AZ642" s="182"/>
      <c r="BA642" s="182"/>
      <c r="BB642" s="182"/>
      <c r="BC642" s="182"/>
      <c r="BD642" s="182"/>
      <c r="BE642" s="182"/>
    </row>
    <row r="643" spans="3:57">
      <c r="C643" s="712"/>
      <c r="D643" s="313"/>
      <c r="E643" s="313"/>
      <c r="F643" s="313"/>
      <c r="G643" s="313"/>
      <c r="H643" s="313"/>
      <c r="I643" s="313"/>
      <c r="J643" s="313"/>
      <c r="K643" s="313"/>
      <c r="L643" s="313"/>
      <c r="M643" s="313"/>
      <c r="N643" s="313"/>
      <c r="O643" s="313"/>
      <c r="P643" s="313"/>
      <c r="Q643" s="683"/>
      <c r="R643" s="313"/>
      <c r="S643" s="313"/>
      <c r="T643" s="245"/>
      <c r="U643" s="245"/>
      <c r="V643" s="245"/>
      <c r="W643" s="245"/>
      <c r="X643" s="245"/>
      <c r="Y643" s="245"/>
      <c r="Z643" s="245"/>
      <c r="AA643" s="245"/>
      <c r="AB643" s="245"/>
      <c r="AC643" s="245"/>
      <c r="AD643" s="245"/>
      <c r="AE643" s="245"/>
      <c r="AF643" s="245"/>
      <c r="AG643" s="245"/>
      <c r="AH643" s="245"/>
      <c r="AI643" s="245"/>
      <c r="AJ643" s="245"/>
      <c r="AK643" s="245"/>
      <c r="AL643" s="245"/>
      <c r="AM643" s="245"/>
      <c r="AN643" s="245"/>
      <c r="AO643" s="245"/>
      <c r="AP643" s="245"/>
      <c r="AQ643" s="245"/>
      <c r="AR643" s="245"/>
      <c r="AS643" s="245"/>
      <c r="AT643" s="245"/>
      <c r="AU643" s="245"/>
      <c r="AV643" s="245"/>
      <c r="AW643" s="245"/>
      <c r="AX643" s="245"/>
      <c r="AY643" s="245"/>
      <c r="AZ643" s="245"/>
      <c r="BA643" s="245"/>
      <c r="BB643" s="245"/>
      <c r="BC643" s="245"/>
      <c r="BD643" s="245"/>
      <c r="BE643" s="245"/>
    </row>
    <row r="644" spans="3:57">
      <c r="C644" s="701">
        <v>20</v>
      </c>
      <c r="D644" s="599"/>
      <c r="E644" s="599">
        <v>2023</v>
      </c>
      <c r="F644" s="599">
        <v>2024</v>
      </c>
      <c r="G644" s="599">
        <v>2025</v>
      </c>
      <c r="H644" s="599">
        <v>2026</v>
      </c>
      <c r="I644" s="599">
        <v>2027</v>
      </c>
      <c r="J644" s="599">
        <v>2028</v>
      </c>
      <c r="K644" s="599">
        <v>2029</v>
      </c>
      <c r="L644" s="599">
        <v>2030</v>
      </c>
      <c r="M644" s="599">
        <v>2031</v>
      </c>
      <c r="N644" s="599">
        <v>2032</v>
      </c>
      <c r="O644" s="599">
        <v>2033</v>
      </c>
      <c r="P644" s="599">
        <v>2034</v>
      </c>
      <c r="Q644" s="702">
        <v>2035</v>
      </c>
      <c r="R644" s="283"/>
      <c r="S644" s="283"/>
      <c r="T644" s="182"/>
      <c r="U644" s="182"/>
      <c r="V644" s="182"/>
      <c r="W644" s="182"/>
      <c r="X644" s="182"/>
      <c r="Y644" s="182"/>
      <c r="Z644" s="182"/>
      <c r="AA644" s="182"/>
      <c r="AB644" s="182"/>
      <c r="AC644" s="182"/>
      <c r="AD644" s="182"/>
      <c r="AE644" s="182"/>
      <c r="AF644" s="182"/>
      <c r="AG644" s="182"/>
      <c r="AH644" s="182"/>
      <c r="AI644" s="182"/>
      <c r="AJ644" s="182"/>
      <c r="AK644" s="182"/>
      <c r="AL644" s="182"/>
      <c r="AM644" s="182"/>
      <c r="AN644" s="182"/>
      <c r="AO644" s="182"/>
      <c r="AP644" s="182"/>
      <c r="AQ644" s="182"/>
      <c r="AR644" s="182"/>
      <c r="AS644" s="182"/>
      <c r="AT644" s="182"/>
      <c r="AU644" s="182"/>
      <c r="AV644" s="182"/>
      <c r="AW644" s="182"/>
      <c r="AX644" s="182"/>
      <c r="AY644" s="182"/>
      <c r="AZ644" s="182"/>
      <c r="BA644" s="182"/>
      <c r="BB644" s="182"/>
      <c r="BC644" s="182"/>
      <c r="BD644" s="182"/>
      <c r="BE644" s="182"/>
    </row>
    <row r="645" spans="3:57" ht="16">
      <c r="C645" s="664" t="s">
        <v>177</v>
      </c>
      <c r="D645" s="291"/>
      <c r="E645" s="291"/>
      <c r="F645" s="291">
        <f>'Deuda a emitir'!F81</f>
        <v>0</v>
      </c>
      <c r="G645" s="291">
        <f>'Deuda a emitir'!G81</f>
        <v>0</v>
      </c>
      <c r="H645" s="291">
        <f>'Deuda a emitir'!H81</f>
        <v>0</v>
      </c>
      <c r="I645" s="291">
        <f>'Deuda a emitir'!I81</f>
        <v>0</v>
      </c>
      <c r="J645" s="291">
        <f>'Deuda a emitir'!J81</f>
        <v>0</v>
      </c>
      <c r="K645" s="291">
        <f>'Deuda a emitir'!K81</f>
        <v>0</v>
      </c>
      <c r="L645" s="291">
        <f>'Deuda a emitir'!L81</f>
        <v>0</v>
      </c>
      <c r="M645" s="291">
        <f>'Deuda a emitir'!M81</f>
        <v>0</v>
      </c>
      <c r="N645" s="291">
        <f>'Deuda a emitir'!N81</f>
        <v>0</v>
      </c>
      <c r="O645" s="291">
        <f>'Deuda a emitir'!O81</f>
        <v>0</v>
      </c>
      <c r="P645" s="291">
        <f>'Deuda a emitir'!P81</f>
        <v>0</v>
      </c>
      <c r="Q645" s="666">
        <f>'Deuda a emitir'!Q81</f>
        <v>0</v>
      </c>
      <c r="R645" s="283"/>
      <c r="S645" s="283"/>
      <c r="T645" s="182"/>
      <c r="U645" s="182"/>
      <c r="V645" s="182"/>
      <c r="W645" s="182"/>
      <c r="X645" s="182"/>
      <c r="Y645" s="182"/>
      <c r="Z645" s="182"/>
      <c r="AA645" s="182"/>
      <c r="AB645" s="182"/>
      <c r="AC645" s="182"/>
      <c r="AD645" s="182"/>
      <c r="AE645" s="182"/>
      <c r="AF645" s="182"/>
      <c r="AG645" s="182"/>
      <c r="AH645" s="182"/>
      <c r="AI645" s="182"/>
      <c r="AJ645" s="182"/>
      <c r="AK645" s="182"/>
      <c r="AL645" s="182"/>
      <c r="AM645" s="182"/>
      <c r="AN645" s="182"/>
      <c r="AO645" s="182"/>
      <c r="AP645" s="182"/>
      <c r="AQ645" s="182"/>
      <c r="AR645" s="182"/>
      <c r="AS645" s="182"/>
      <c r="AT645" s="182"/>
      <c r="AU645" s="182"/>
      <c r="AV645" s="182"/>
      <c r="AW645" s="182"/>
      <c r="AX645" s="182"/>
      <c r="AY645" s="182"/>
      <c r="AZ645" s="182"/>
      <c r="BA645" s="182"/>
      <c r="BB645" s="182"/>
      <c r="BC645" s="182"/>
      <c r="BD645" s="182"/>
      <c r="BE645" s="182"/>
    </row>
    <row r="646" spans="3:57" ht="16">
      <c r="C646" s="664" t="s">
        <v>179</v>
      </c>
      <c r="D646" s="326"/>
      <c r="E646" s="326"/>
      <c r="F646" s="326">
        <f>'Deuda a emitir'!F82</f>
        <v>20</v>
      </c>
      <c r="G646" s="326">
        <f>'Deuda a emitir'!G82</f>
        <v>20</v>
      </c>
      <c r="H646" s="326">
        <f>'Deuda a emitir'!H82</f>
        <v>20</v>
      </c>
      <c r="I646" s="326">
        <f>'Deuda a emitir'!I82</f>
        <v>20</v>
      </c>
      <c r="J646" s="326">
        <f>'Deuda a emitir'!J82</f>
        <v>20</v>
      </c>
      <c r="K646" s="326">
        <f>'Deuda a emitir'!K82</f>
        <v>20</v>
      </c>
      <c r="L646" s="326">
        <f>'Deuda a emitir'!L82</f>
        <v>20</v>
      </c>
      <c r="M646" s="326">
        <f>'Deuda a emitir'!M82</f>
        <v>20</v>
      </c>
      <c r="N646" s="326">
        <f>'Deuda a emitir'!N82</f>
        <v>20</v>
      </c>
      <c r="O646" s="326">
        <f>'Deuda a emitir'!O82</f>
        <v>20</v>
      </c>
      <c r="P646" s="326">
        <f>'Deuda a emitir'!P82</f>
        <v>20</v>
      </c>
      <c r="Q646" s="684">
        <f>'Deuda a emitir'!Q82</f>
        <v>20</v>
      </c>
      <c r="R646" s="283"/>
      <c r="S646" s="283"/>
      <c r="T646" s="182"/>
      <c r="U646" s="182"/>
      <c r="V646" s="182"/>
      <c r="W646" s="182"/>
      <c r="X646" s="182"/>
      <c r="Y646" s="182"/>
      <c r="Z646" s="182"/>
      <c r="AA646" s="182"/>
      <c r="AB646" s="182"/>
      <c r="AC646" s="182"/>
      <c r="AD646" s="182"/>
      <c r="AE646" s="182"/>
      <c r="AF646" s="182"/>
      <c r="AG646" s="182"/>
      <c r="AH646" s="182"/>
      <c r="AI646" s="182"/>
      <c r="AJ646" s="182"/>
      <c r="AK646" s="182"/>
      <c r="AL646" s="182"/>
      <c r="AM646" s="182"/>
      <c r="AN646" s="182"/>
      <c r="AO646" s="182"/>
      <c r="AP646" s="182"/>
      <c r="AQ646" s="182"/>
      <c r="AR646" s="182"/>
      <c r="AS646" s="182"/>
      <c r="AT646" s="182"/>
      <c r="AU646" s="182"/>
      <c r="AV646" s="182"/>
      <c r="AW646" s="182"/>
      <c r="AX646" s="182"/>
      <c r="AY646" s="182"/>
      <c r="AZ646" s="182"/>
      <c r="BA646" s="182"/>
      <c r="BB646" s="182"/>
      <c r="BC646" s="182"/>
      <c r="BD646" s="182"/>
      <c r="BE646" s="182"/>
    </row>
    <row r="647" spans="3:57" ht="16">
      <c r="C647" s="664" t="s">
        <v>72</v>
      </c>
      <c r="D647" s="328"/>
      <c r="E647" s="328"/>
      <c r="F647" s="328">
        <f t="shared" ref="F647:Q647" si="240">F644+F646</f>
        <v>2044</v>
      </c>
      <c r="G647" s="328">
        <f t="shared" si="240"/>
        <v>2045</v>
      </c>
      <c r="H647" s="328">
        <f t="shared" si="240"/>
        <v>2046</v>
      </c>
      <c r="I647" s="328">
        <f t="shared" si="240"/>
        <v>2047</v>
      </c>
      <c r="J647" s="328">
        <f t="shared" si="240"/>
        <v>2048</v>
      </c>
      <c r="K647" s="328">
        <f t="shared" si="240"/>
        <v>2049</v>
      </c>
      <c r="L647" s="328">
        <f t="shared" si="240"/>
        <v>2050</v>
      </c>
      <c r="M647" s="328">
        <f t="shared" si="240"/>
        <v>2051</v>
      </c>
      <c r="N647" s="328">
        <f t="shared" si="240"/>
        <v>2052</v>
      </c>
      <c r="O647" s="328">
        <f t="shared" si="240"/>
        <v>2053</v>
      </c>
      <c r="P647" s="328">
        <f t="shared" si="240"/>
        <v>2054</v>
      </c>
      <c r="Q647" s="681">
        <f t="shared" si="240"/>
        <v>2055</v>
      </c>
      <c r="R647" s="327"/>
      <c r="S647" s="327"/>
      <c r="T647" s="182"/>
      <c r="U647" s="182"/>
      <c r="V647" s="182"/>
      <c r="W647" s="182"/>
      <c r="X647" s="182"/>
      <c r="Y647" s="182"/>
      <c r="Z647" s="182"/>
      <c r="AA647" s="182"/>
      <c r="AB647" s="182"/>
      <c r="AC647" s="182"/>
      <c r="AD647" s="182"/>
      <c r="AE647" s="182"/>
      <c r="AF647" s="182"/>
      <c r="AG647" s="182"/>
      <c r="AH647" s="182"/>
      <c r="AI647" s="182"/>
      <c r="AJ647" s="182"/>
      <c r="AK647" s="182"/>
      <c r="AL647" s="182"/>
      <c r="AM647" s="182"/>
      <c r="AN647" s="182"/>
      <c r="AO647" s="182"/>
      <c r="AP647" s="182"/>
      <c r="AQ647" s="182"/>
      <c r="AR647" s="182"/>
      <c r="AS647" s="182"/>
      <c r="AT647" s="182"/>
      <c r="AU647" s="182"/>
      <c r="AV647" s="182"/>
      <c r="AW647" s="182"/>
      <c r="AX647" s="182"/>
      <c r="AY647" s="182"/>
      <c r="AZ647" s="182"/>
      <c r="BA647" s="182"/>
      <c r="BB647" s="182"/>
      <c r="BC647" s="182"/>
      <c r="BD647" s="182"/>
      <c r="BE647" s="182"/>
    </row>
    <row r="648" spans="3:57" ht="16">
      <c r="C648" s="664" t="s">
        <v>180</v>
      </c>
      <c r="D648" s="291"/>
      <c r="E648" s="291"/>
      <c r="F648" s="291">
        <f>'Deuda a emitir'!F72</f>
        <v>0</v>
      </c>
      <c r="G648" s="291">
        <f>'Deuda a emitir'!G72</f>
        <v>0</v>
      </c>
      <c r="H648" s="291">
        <f>'Deuda a emitir'!H72</f>
        <v>0</v>
      </c>
      <c r="I648" s="291">
        <f>'Deuda a emitir'!I72</f>
        <v>0</v>
      </c>
      <c r="J648" s="291">
        <f>'Deuda a emitir'!J72</f>
        <v>0</v>
      </c>
      <c r="K648" s="291">
        <f>'Deuda a emitir'!K72</f>
        <v>0</v>
      </c>
      <c r="L648" s="291">
        <f>'Deuda a emitir'!L72</f>
        <v>0</v>
      </c>
      <c r="M648" s="291">
        <f>'Deuda a emitir'!M72</f>
        <v>0</v>
      </c>
      <c r="N648" s="291">
        <f>'Deuda a emitir'!N72</f>
        <v>0</v>
      </c>
      <c r="O648" s="291">
        <f>'Deuda a emitir'!O72</f>
        <v>0</v>
      </c>
      <c r="P648" s="291">
        <f>'Deuda a emitir'!P72</f>
        <v>0</v>
      </c>
      <c r="Q648" s="666">
        <f>'Deuda a emitir'!Q72</f>
        <v>0</v>
      </c>
      <c r="R648" s="283"/>
      <c r="S648" s="283"/>
      <c r="T648" s="182"/>
      <c r="U648" s="182"/>
      <c r="V648" s="182"/>
      <c r="W648" s="182"/>
      <c r="X648" s="182"/>
      <c r="Y648" s="182"/>
      <c r="Z648" s="182"/>
      <c r="AA648" s="182"/>
      <c r="AB648" s="182"/>
      <c r="AC648" s="182"/>
      <c r="AD648" s="182"/>
      <c r="AE648" s="182"/>
      <c r="AF648" s="182"/>
      <c r="AG648" s="182"/>
      <c r="AH648" s="182"/>
      <c r="AI648" s="182"/>
      <c r="AJ648" s="182"/>
      <c r="AK648" s="182"/>
      <c r="AL648" s="182"/>
      <c r="AM648" s="182"/>
      <c r="AN648" s="182"/>
      <c r="AO648" s="182"/>
      <c r="AP648" s="182"/>
      <c r="AQ648" s="182"/>
      <c r="AR648" s="182"/>
      <c r="AS648" s="182"/>
      <c r="AT648" s="182"/>
      <c r="AU648" s="182"/>
      <c r="AV648" s="182"/>
      <c r="AW648" s="182"/>
      <c r="AX648" s="182"/>
      <c r="AY648" s="182"/>
      <c r="AZ648" s="182"/>
      <c r="BA648" s="182"/>
      <c r="BB648" s="182"/>
      <c r="BC648" s="182"/>
      <c r="BD648" s="182"/>
      <c r="BE648" s="182"/>
    </row>
    <row r="649" spans="3:57" ht="32">
      <c r="C649" s="664" t="s">
        <v>204</v>
      </c>
      <c r="D649" s="283"/>
      <c r="E649" s="283"/>
      <c r="F649" s="283">
        <f t="shared" ref="F649:Q649" si="241">F$583*F648</f>
        <v>0</v>
      </c>
      <c r="G649" s="283" t="e">
        <f t="shared" si="241"/>
        <v>#DIV/0!</v>
      </c>
      <c r="H649" s="283" t="e">
        <f t="shared" si="241"/>
        <v>#DIV/0!</v>
      </c>
      <c r="I649" s="283" t="e">
        <f t="shared" si="241"/>
        <v>#DIV/0!</v>
      </c>
      <c r="J649" s="283" t="e">
        <f t="shared" si="241"/>
        <v>#DIV/0!</v>
      </c>
      <c r="K649" s="283" t="e">
        <f t="shared" si="241"/>
        <v>#DIV/0!</v>
      </c>
      <c r="L649" s="283" t="e">
        <f t="shared" si="241"/>
        <v>#DIV/0!</v>
      </c>
      <c r="M649" s="283" t="e">
        <f t="shared" si="241"/>
        <v>#DIV/0!</v>
      </c>
      <c r="N649" s="283" t="e">
        <f t="shared" si="241"/>
        <v>#DIV/0!</v>
      </c>
      <c r="O649" s="283" t="e">
        <f t="shared" si="241"/>
        <v>#DIV/0!</v>
      </c>
      <c r="P649" s="283" t="e">
        <f t="shared" si="241"/>
        <v>#DIV/0!</v>
      </c>
      <c r="Q649" s="667" t="e">
        <f t="shared" si="241"/>
        <v>#DIV/0!</v>
      </c>
      <c r="R649" s="283"/>
      <c r="S649" s="283"/>
      <c r="T649" s="182"/>
      <c r="U649" s="182"/>
      <c r="V649" s="182"/>
      <c r="W649" s="182"/>
      <c r="X649" s="182"/>
      <c r="Y649" s="182"/>
      <c r="Z649" s="182"/>
      <c r="AA649" s="182"/>
      <c r="AB649" s="182"/>
      <c r="AC649" s="182"/>
      <c r="AD649" s="182"/>
      <c r="AE649" s="182"/>
      <c r="AF649" s="182"/>
      <c r="AG649" s="182"/>
      <c r="AH649" s="182"/>
      <c r="AI649" s="182"/>
      <c r="AJ649" s="182"/>
      <c r="AK649" s="182"/>
      <c r="AL649" s="182"/>
      <c r="AM649" s="182"/>
      <c r="AN649" s="182"/>
      <c r="AO649" s="182"/>
      <c r="AP649" s="182"/>
      <c r="AQ649" s="182"/>
      <c r="AR649" s="182"/>
      <c r="AS649" s="182"/>
      <c r="AT649" s="182"/>
      <c r="AU649" s="182"/>
      <c r="AV649" s="182"/>
      <c r="AW649" s="182"/>
      <c r="AX649" s="182"/>
      <c r="AY649" s="182"/>
      <c r="AZ649" s="182"/>
      <c r="BA649" s="182"/>
      <c r="BB649" s="182"/>
      <c r="BC649" s="182"/>
      <c r="BD649" s="182"/>
      <c r="BE649" s="182"/>
    </row>
    <row r="650" spans="3:57" ht="32">
      <c r="C650" s="664" t="s">
        <v>171</v>
      </c>
      <c r="D650" s="283"/>
      <c r="E650" s="283"/>
      <c r="F650" s="283">
        <f t="shared" ref="F650:Q650" si="242">F$584*F648</f>
        <v>0</v>
      </c>
      <c r="G650" s="283">
        <f t="shared" si="242"/>
        <v>0</v>
      </c>
      <c r="H650" s="283">
        <f t="shared" si="242"/>
        <v>0</v>
      </c>
      <c r="I650" s="283">
        <f t="shared" si="242"/>
        <v>0</v>
      </c>
      <c r="J650" s="283">
        <f t="shared" si="242"/>
        <v>0</v>
      </c>
      <c r="K650" s="283">
        <f t="shared" si="242"/>
        <v>0</v>
      </c>
      <c r="L650" s="283">
        <f t="shared" si="242"/>
        <v>0</v>
      </c>
      <c r="M650" s="283">
        <f t="shared" si="242"/>
        <v>0</v>
      </c>
      <c r="N650" s="283">
        <f t="shared" si="242"/>
        <v>0</v>
      </c>
      <c r="O650" s="283">
        <f t="shared" si="242"/>
        <v>0</v>
      </c>
      <c r="P650" s="283">
        <f t="shared" si="242"/>
        <v>0</v>
      </c>
      <c r="Q650" s="667">
        <f t="shared" si="242"/>
        <v>0</v>
      </c>
      <c r="R650" s="283"/>
      <c r="S650" s="283"/>
      <c r="T650" s="182"/>
      <c r="U650" s="182"/>
      <c r="V650" s="182"/>
      <c r="W650" s="182"/>
      <c r="X650" s="182"/>
      <c r="Y650" s="182"/>
      <c r="Z650" s="182"/>
      <c r="AA650" s="182"/>
      <c r="AB650" s="182"/>
      <c r="AC650" s="182"/>
      <c r="AD650" s="182"/>
      <c r="AE650" s="182"/>
      <c r="AF650" s="182"/>
      <c r="AG650" s="182"/>
      <c r="AH650" s="182"/>
      <c r="AI650" s="182"/>
      <c r="AJ650" s="182"/>
      <c r="AK650" s="182"/>
      <c r="AL650" s="182"/>
      <c r="AM650" s="182"/>
      <c r="AN650" s="182"/>
      <c r="AO650" s="182"/>
      <c r="AP650" s="182"/>
      <c r="AQ650" s="182"/>
      <c r="AR650" s="182"/>
      <c r="AS650" s="182"/>
      <c r="AT650" s="182"/>
      <c r="AU650" s="182"/>
      <c r="AV650" s="182"/>
      <c r="AW650" s="182"/>
      <c r="AX650" s="182"/>
      <c r="AY650" s="182"/>
      <c r="AZ650" s="182"/>
      <c r="BA650" s="182"/>
      <c r="BB650" s="182"/>
      <c r="BC650" s="182"/>
      <c r="BD650" s="182"/>
      <c r="BE650" s="182"/>
    </row>
    <row r="651" spans="3:57" ht="16">
      <c r="C651" s="668" t="s">
        <v>212</v>
      </c>
      <c r="D651" s="37"/>
      <c r="E651" s="37"/>
      <c r="F651" s="37">
        <f t="shared" ref="F651:P651" si="243">SUM(F649:F650)</f>
        <v>0</v>
      </c>
      <c r="G651" s="37" t="e">
        <f t="shared" si="243"/>
        <v>#DIV/0!</v>
      </c>
      <c r="H651" s="37" t="e">
        <f t="shared" si="243"/>
        <v>#DIV/0!</v>
      </c>
      <c r="I651" s="37" t="e">
        <f t="shared" si="243"/>
        <v>#DIV/0!</v>
      </c>
      <c r="J651" s="37" t="e">
        <f t="shared" si="243"/>
        <v>#DIV/0!</v>
      </c>
      <c r="K651" s="37" t="e">
        <f t="shared" si="243"/>
        <v>#DIV/0!</v>
      </c>
      <c r="L651" s="37" t="e">
        <f t="shared" si="243"/>
        <v>#DIV/0!</v>
      </c>
      <c r="M651" s="37" t="e">
        <f t="shared" si="243"/>
        <v>#DIV/0!</v>
      </c>
      <c r="N651" s="37" t="e">
        <f t="shared" si="243"/>
        <v>#DIV/0!</v>
      </c>
      <c r="O651" s="37" t="e">
        <f t="shared" si="243"/>
        <v>#DIV/0!</v>
      </c>
      <c r="P651" s="37" t="e">
        <f t="shared" si="243"/>
        <v>#DIV/0!</v>
      </c>
      <c r="Q651" s="669" t="e">
        <f t="shared" ref="Q651" si="244">SUM(Q649:Q650)</f>
        <v>#DIV/0!</v>
      </c>
      <c r="R651" s="37"/>
      <c r="S651" s="37"/>
      <c r="T651" s="244"/>
      <c r="U651" s="244"/>
      <c r="V651" s="244"/>
      <c r="W651" s="244"/>
      <c r="X651" s="244"/>
      <c r="Y651" s="244"/>
      <c r="Z651" s="244"/>
      <c r="AA651" s="244"/>
      <c r="AB651" s="244"/>
      <c r="AC651" s="244"/>
      <c r="AD651" s="244"/>
      <c r="AE651" s="244"/>
      <c r="AF651" s="244"/>
      <c r="AG651" s="244"/>
      <c r="AH651" s="244"/>
      <c r="AI651" s="244"/>
      <c r="AJ651" s="244"/>
      <c r="AK651" s="244"/>
      <c r="AL651" s="244"/>
      <c r="AM651" s="244"/>
      <c r="AN651" s="244"/>
      <c r="AO651" s="244"/>
      <c r="AP651" s="244"/>
      <c r="AQ651" s="244"/>
      <c r="AR651" s="244"/>
      <c r="AS651" s="244"/>
      <c r="AT651" s="244"/>
      <c r="AU651" s="244"/>
      <c r="AV651" s="244"/>
      <c r="AW651" s="244"/>
      <c r="AX651" s="244"/>
      <c r="AY651" s="244"/>
      <c r="AZ651" s="244"/>
      <c r="BA651" s="244"/>
      <c r="BB651" s="244"/>
      <c r="BC651" s="244"/>
      <c r="BD651" s="244"/>
      <c r="BE651" s="244"/>
    </row>
    <row r="652" spans="3:57" ht="16">
      <c r="C652" s="686" t="s">
        <v>213</v>
      </c>
      <c r="D652" s="283"/>
      <c r="E652" s="598"/>
      <c r="F652" s="598" t="e">
        <f t="shared" ref="F652:Q652" si="245">(F651/F$582)</f>
        <v>#DIV/0!</v>
      </c>
      <c r="G652" s="598" t="e">
        <f t="shared" si="245"/>
        <v>#DIV/0!</v>
      </c>
      <c r="H652" s="598" t="e">
        <f t="shared" si="245"/>
        <v>#DIV/0!</v>
      </c>
      <c r="I652" s="598" t="e">
        <f t="shared" si="245"/>
        <v>#DIV/0!</v>
      </c>
      <c r="J652" s="598" t="e">
        <f t="shared" si="245"/>
        <v>#DIV/0!</v>
      </c>
      <c r="K652" s="598" t="e">
        <f t="shared" si="245"/>
        <v>#DIV/0!</v>
      </c>
      <c r="L652" s="598" t="e">
        <f t="shared" si="245"/>
        <v>#DIV/0!</v>
      </c>
      <c r="M652" s="598" t="e">
        <f t="shared" si="245"/>
        <v>#DIV/0!</v>
      </c>
      <c r="N652" s="598" t="e">
        <f t="shared" si="245"/>
        <v>#DIV/0!</v>
      </c>
      <c r="O652" s="598" t="e">
        <f t="shared" si="245"/>
        <v>#DIV/0!</v>
      </c>
      <c r="P652" s="598" t="e">
        <f t="shared" si="245"/>
        <v>#DIV/0!</v>
      </c>
      <c r="Q652" s="711" t="e">
        <f t="shared" si="245"/>
        <v>#DIV/0!</v>
      </c>
      <c r="R652" s="182"/>
      <c r="S652" s="182"/>
      <c r="T652" s="182"/>
      <c r="U652" s="182"/>
      <c r="V652" s="182"/>
      <c r="W652" s="182"/>
      <c r="X652" s="182"/>
      <c r="Y652" s="182"/>
      <c r="Z652" s="182"/>
      <c r="AA652" s="182"/>
      <c r="AB652" s="182"/>
      <c r="AC652" s="182"/>
      <c r="AD652" s="182"/>
      <c r="AE652" s="182"/>
      <c r="AF652" s="182"/>
      <c r="AG652" s="182"/>
      <c r="AH652" s="182"/>
      <c r="AI652" s="182"/>
      <c r="AJ652" s="182"/>
      <c r="AK652" s="182"/>
      <c r="AL652" s="182"/>
      <c r="AM652" s="182"/>
      <c r="AN652" s="182"/>
      <c r="AO652" s="182"/>
      <c r="AP652" s="182"/>
      <c r="AQ652" s="182"/>
      <c r="AR652" s="182"/>
      <c r="AS652" s="182"/>
      <c r="AT652" s="182"/>
      <c r="AU652" s="182"/>
      <c r="AV652" s="182"/>
      <c r="AW652" s="182"/>
      <c r="AX652" s="182"/>
      <c r="AY652" s="182"/>
      <c r="AZ652" s="182"/>
      <c r="BA652" s="182"/>
      <c r="BB652" s="182"/>
      <c r="BC652" s="182"/>
      <c r="BD652" s="182"/>
      <c r="BE652" s="182"/>
    </row>
    <row r="653" spans="3:57" ht="16">
      <c r="C653" s="668" t="s">
        <v>214</v>
      </c>
      <c r="D653" s="37"/>
      <c r="E653" s="37"/>
      <c r="F653" s="37" t="e">
        <f t="shared" ref="F653:Q653" si="246">F652*HLOOKUP(F647,$D581:$BA582,2,FALSE)</f>
        <v>#DIV/0!</v>
      </c>
      <c r="G653" s="37" t="e">
        <f t="shared" si="246"/>
        <v>#DIV/0!</v>
      </c>
      <c r="H653" s="37" t="e">
        <f t="shared" si="246"/>
        <v>#DIV/0!</v>
      </c>
      <c r="I653" s="37" t="e">
        <f t="shared" si="246"/>
        <v>#DIV/0!</v>
      </c>
      <c r="J653" s="37" t="e">
        <f t="shared" si="246"/>
        <v>#DIV/0!</v>
      </c>
      <c r="K653" s="37" t="e">
        <f t="shared" si="246"/>
        <v>#DIV/0!</v>
      </c>
      <c r="L653" s="37" t="e">
        <f t="shared" si="246"/>
        <v>#DIV/0!</v>
      </c>
      <c r="M653" s="37" t="e">
        <f t="shared" si="246"/>
        <v>#DIV/0!</v>
      </c>
      <c r="N653" s="37" t="e">
        <f t="shared" si="246"/>
        <v>#DIV/0!</v>
      </c>
      <c r="O653" s="37" t="e">
        <f t="shared" si="246"/>
        <v>#DIV/0!</v>
      </c>
      <c r="P653" s="37" t="e">
        <f t="shared" si="246"/>
        <v>#DIV/0!</v>
      </c>
      <c r="Q653" s="669" t="e">
        <f t="shared" si="246"/>
        <v>#DIV/0!</v>
      </c>
      <c r="R653" s="283"/>
      <c r="S653" s="283"/>
      <c r="T653" s="182"/>
      <c r="U653" s="182"/>
      <c r="V653" s="182"/>
      <c r="W653" s="182"/>
      <c r="X653" s="182"/>
      <c r="Y653" s="182"/>
      <c r="Z653" s="182"/>
      <c r="AA653" s="182"/>
      <c r="AB653" s="182"/>
      <c r="AC653" s="182"/>
      <c r="AD653" s="182"/>
      <c r="AE653" s="182"/>
      <c r="AF653" s="182"/>
      <c r="AG653" s="182"/>
      <c r="AH653" s="182"/>
      <c r="AI653" s="182"/>
      <c r="AJ653" s="182"/>
      <c r="AK653" s="182"/>
      <c r="AL653" s="182"/>
      <c r="AM653" s="182"/>
      <c r="AN653" s="182"/>
      <c r="AO653" s="182"/>
      <c r="AP653" s="182"/>
      <c r="AQ653" s="182"/>
      <c r="AR653" s="182"/>
      <c r="AS653" s="182"/>
      <c r="AT653" s="182"/>
      <c r="AU653" s="182"/>
      <c r="AV653" s="182"/>
      <c r="AW653" s="182"/>
      <c r="AX653" s="182"/>
      <c r="AY653" s="182"/>
      <c r="AZ653" s="182"/>
      <c r="BA653" s="182"/>
      <c r="BB653" s="182"/>
      <c r="BC653" s="182"/>
      <c r="BD653" s="182"/>
      <c r="BE653" s="182"/>
    </row>
    <row r="654" spans="3:57">
      <c r="C654" s="664"/>
      <c r="D654" s="283"/>
      <c r="E654" s="283"/>
      <c r="F654" s="283"/>
      <c r="G654" s="283"/>
      <c r="H654" s="283"/>
      <c r="I654" s="283"/>
      <c r="J654" s="283"/>
      <c r="K654" s="283"/>
      <c r="L654" s="283"/>
      <c r="M654" s="283"/>
      <c r="N654" s="283"/>
      <c r="O654" s="283"/>
      <c r="P654" s="283"/>
      <c r="Q654" s="667"/>
      <c r="R654" s="283"/>
      <c r="S654" s="283"/>
      <c r="T654" s="182"/>
      <c r="U654" s="182"/>
      <c r="V654" s="182"/>
      <c r="W654" s="182"/>
      <c r="X654" s="182"/>
      <c r="Y654" s="182"/>
      <c r="Z654" s="182"/>
      <c r="AA654" s="182"/>
      <c r="AB654" s="182"/>
      <c r="AC654" s="182"/>
      <c r="AD654" s="182"/>
      <c r="AE654" s="182"/>
      <c r="AF654" s="182"/>
      <c r="AG654" s="182"/>
      <c r="AH654" s="182"/>
      <c r="AI654" s="182"/>
      <c r="AJ654" s="182"/>
      <c r="AK654" s="182"/>
      <c r="AL654" s="182"/>
      <c r="AM654" s="182"/>
      <c r="AN654" s="182"/>
      <c r="AO654" s="182"/>
      <c r="AP654" s="182"/>
      <c r="AQ654" s="182"/>
      <c r="AR654" s="182"/>
      <c r="AS654" s="182"/>
      <c r="AT654" s="182"/>
      <c r="AU654" s="182"/>
      <c r="AV654" s="182"/>
      <c r="AW654" s="182"/>
      <c r="AX654" s="182"/>
      <c r="AY654" s="182"/>
      <c r="AZ654" s="182"/>
      <c r="BA654" s="182"/>
      <c r="BB654" s="182"/>
      <c r="BC654" s="182"/>
      <c r="BD654" s="182"/>
      <c r="BE654" s="182"/>
    </row>
    <row r="655" spans="3:57">
      <c r="C655" s="664">
        <v>0</v>
      </c>
      <c r="D655" s="283"/>
      <c r="E655" s="283"/>
      <c r="F655" s="283"/>
      <c r="G655" s="283"/>
      <c r="H655" s="283"/>
      <c r="I655" s="283"/>
      <c r="J655" s="283"/>
      <c r="K655" s="283"/>
      <c r="L655" s="283"/>
      <c r="M655" s="283"/>
      <c r="N655" s="283"/>
      <c r="O655" s="283"/>
      <c r="P655" s="283"/>
      <c r="Q655" s="667"/>
      <c r="R655" s="283"/>
      <c r="S655" s="283"/>
      <c r="T655" s="182"/>
      <c r="U655" s="182"/>
      <c r="V655" s="182"/>
      <c r="W655" s="182"/>
      <c r="X655" s="182"/>
      <c r="Y655" s="182"/>
      <c r="Z655" s="182"/>
      <c r="AA655" s="182"/>
      <c r="AB655" s="182"/>
      <c r="AC655" s="182"/>
      <c r="AD655" s="182"/>
      <c r="AE655" s="182"/>
      <c r="AF655" s="182"/>
      <c r="AG655" s="182"/>
      <c r="AH655" s="182"/>
      <c r="AI655" s="182"/>
      <c r="AJ655" s="182"/>
      <c r="AK655" s="182"/>
      <c r="AL655" s="182"/>
      <c r="AM655" s="182"/>
      <c r="AN655" s="182"/>
      <c r="AO655" s="182"/>
      <c r="AP655" s="182"/>
      <c r="AQ655" s="182"/>
      <c r="AR655" s="182"/>
      <c r="AS655" s="182"/>
      <c r="AT655" s="182"/>
      <c r="AU655" s="182"/>
      <c r="AV655" s="182"/>
      <c r="AW655" s="182"/>
      <c r="AX655" s="182"/>
      <c r="AY655" s="182"/>
      <c r="AZ655" s="182"/>
      <c r="BA655" s="182"/>
      <c r="BB655" s="182"/>
      <c r="BC655" s="182"/>
      <c r="BD655" s="182"/>
      <c r="BE655" s="182"/>
    </row>
    <row r="656" spans="3:57">
      <c r="C656" s="664">
        <v>1</v>
      </c>
      <c r="D656" s="283"/>
      <c r="E656" s="283"/>
      <c r="F656" s="283" t="e">
        <f t="shared" ref="F656:Q665" si="247">-F$652*F$645*HLOOKUP((F$644+$C656),$D$581:$BA$582,2,FALSE)</f>
        <v>#DIV/0!</v>
      </c>
      <c r="G656" s="283" t="e">
        <f t="shared" si="247"/>
        <v>#DIV/0!</v>
      </c>
      <c r="H656" s="283" t="e">
        <f t="shared" si="247"/>
        <v>#DIV/0!</v>
      </c>
      <c r="I656" s="283" t="e">
        <f t="shared" si="247"/>
        <v>#DIV/0!</v>
      </c>
      <c r="J656" s="283" t="e">
        <f t="shared" si="247"/>
        <v>#DIV/0!</v>
      </c>
      <c r="K656" s="283" t="e">
        <f t="shared" si="247"/>
        <v>#DIV/0!</v>
      </c>
      <c r="L656" s="283" t="e">
        <f t="shared" si="247"/>
        <v>#DIV/0!</v>
      </c>
      <c r="M656" s="283" t="e">
        <f t="shared" si="247"/>
        <v>#DIV/0!</v>
      </c>
      <c r="N656" s="283" t="e">
        <f t="shared" si="247"/>
        <v>#DIV/0!</v>
      </c>
      <c r="O656" s="283" t="e">
        <f t="shared" si="247"/>
        <v>#DIV/0!</v>
      </c>
      <c r="P656" s="283" t="e">
        <f t="shared" si="247"/>
        <v>#DIV/0!</v>
      </c>
      <c r="Q656" s="667" t="e">
        <f t="shared" si="247"/>
        <v>#DIV/0!</v>
      </c>
      <c r="R656" s="283"/>
      <c r="S656" s="283"/>
      <c r="T656" s="182"/>
      <c r="U656" s="182"/>
      <c r="V656" s="182"/>
      <c r="W656" s="182"/>
      <c r="X656" s="182"/>
      <c r="Y656" s="182"/>
      <c r="Z656" s="182"/>
      <c r="AA656" s="182"/>
      <c r="AB656" s="182"/>
      <c r="AC656" s="182"/>
      <c r="AD656" s="182"/>
      <c r="AE656" s="182"/>
      <c r="AF656" s="182"/>
      <c r="AG656" s="182"/>
      <c r="AH656" s="182"/>
      <c r="AI656" s="182"/>
      <c r="AJ656" s="182"/>
      <c r="AK656" s="182"/>
      <c r="AL656" s="182"/>
      <c r="AM656" s="182"/>
      <c r="AN656" s="182"/>
      <c r="AO656" s="182"/>
      <c r="AP656" s="182"/>
      <c r="AQ656" s="182"/>
      <c r="AR656" s="182"/>
      <c r="AS656" s="182"/>
      <c r="AT656" s="182"/>
      <c r="AU656" s="182"/>
      <c r="AV656" s="182"/>
      <c r="AW656" s="182"/>
      <c r="AX656" s="182"/>
      <c r="AY656" s="182"/>
      <c r="AZ656" s="182"/>
      <c r="BA656" s="182"/>
      <c r="BB656" s="182"/>
      <c r="BC656" s="182"/>
      <c r="BD656" s="182"/>
      <c r="BE656" s="182"/>
    </row>
    <row r="657" spans="3:57">
      <c r="C657" s="664">
        <v>2</v>
      </c>
      <c r="D657" s="283"/>
      <c r="E657" s="283"/>
      <c r="F657" s="283" t="e">
        <f t="shared" si="247"/>
        <v>#DIV/0!</v>
      </c>
      <c r="G657" s="283" t="e">
        <f t="shared" si="247"/>
        <v>#DIV/0!</v>
      </c>
      <c r="H657" s="283" t="e">
        <f t="shared" si="247"/>
        <v>#DIV/0!</v>
      </c>
      <c r="I657" s="283" t="e">
        <f t="shared" si="247"/>
        <v>#DIV/0!</v>
      </c>
      <c r="J657" s="283" t="e">
        <f t="shared" si="247"/>
        <v>#DIV/0!</v>
      </c>
      <c r="K657" s="283" t="e">
        <f t="shared" si="247"/>
        <v>#DIV/0!</v>
      </c>
      <c r="L657" s="283" t="e">
        <f t="shared" si="247"/>
        <v>#DIV/0!</v>
      </c>
      <c r="M657" s="283" t="e">
        <f t="shared" si="247"/>
        <v>#DIV/0!</v>
      </c>
      <c r="N657" s="283" t="e">
        <f t="shared" si="247"/>
        <v>#DIV/0!</v>
      </c>
      <c r="O657" s="283" t="e">
        <f t="shared" si="247"/>
        <v>#DIV/0!</v>
      </c>
      <c r="P657" s="283" t="e">
        <f t="shared" si="247"/>
        <v>#DIV/0!</v>
      </c>
      <c r="Q657" s="667" t="e">
        <f t="shared" si="247"/>
        <v>#DIV/0!</v>
      </c>
      <c r="R657" s="283"/>
      <c r="S657" s="283"/>
      <c r="T657" s="182"/>
      <c r="U657" s="182"/>
      <c r="V657" s="182"/>
      <c r="W657" s="182"/>
      <c r="X657" s="182"/>
      <c r="Y657" s="182"/>
      <c r="Z657" s="182"/>
      <c r="AA657" s="182"/>
      <c r="AB657" s="182"/>
      <c r="AC657" s="182"/>
      <c r="AD657" s="182"/>
      <c r="AE657" s="182"/>
      <c r="AF657" s="182"/>
      <c r="AG657" s="182"/>
      <c r="AH657" s="182"/>
      <c r="AI657" s="182"/>
      <c r="AJ657" s="182"/>
      <c r="AK657" s="182"/>
      <c r="AL657" s="182"/>
      <c r="AM657" s="182"/>
      <c r="AN657" s="182"/>
      <c r="AO657" s="182"/>
      <c r="AP657" s="182"/>
      <c r="AQ657" s="182"/>
      <c r="AR657" s="182"/>
      <c r="AS657" s="182"/>
      <c r="AT657" s="182"/>
      <c r="AU657" s="182"/>
      <c r="AV657" s="182"/>
      <c r="AW657" s="182"/>
      <c r="AX657" s="182"/>
      <c r="AY657" s="182"/>
      <c r="AZ657" s="182"/>
      <c r="BA657" s="182"/>
      <c r="BB657" s="182"/>
      <c r="BC657" s="182"/>
      <c r="BD657" s="182"/>
      <c r="BE657" s="182"/>
    </row>
    <row r="658" spans="3:57">
      <c r="C658" s="664">
        <v>3</v>
      </c>
      <c r="D658" s="283"/>
      <c r="E658" s="283"/>
      <c r="F658" s="283" t="e">
        <f t="shared" si="247"/>
        <v>#DIV/0!</v>
      </c>
      <c r="G658" s="283" t="e">
        <f t="shared" si="247"/>
        <v>#DIV/0!</v>
      </c>
      <c r="H658" s="283" t="e">
        <f t="shared" si="247"/>
        <v>#DIV/0!</v>
      </c>
      <c r="I658" s="283" t="e">
        <f t="shared" si="247"/>
        <v>#DIV/0!</v>
      </c>
      <c r="J658" s="283" t="e">
        <f t="shared" si="247"/>
        <v>#DIV/0!</v>
      </c>
      <c r="K658" s="283" t="e">
        <f t="shared" si="247"/>
        <v>#DIV/0!</v>
      </c>
      <c r="L658" s="283" t="e">
        <f t="shared" si="247"/>
        <v>#DIV/0!</v>
      </c>
      <c r="M658" s="283" t="e">
        <f t="shared" si="247"/>
        <v>#DIV/0!</v>
      </c>
      <c r="N658" s="283" t="e">
        <f t="shared" si="247"/>
        <v>#DIV/0!</v>
      </c>
      <c r="O658" s="283" t="e">
        <f t="shared" si="247"/>
        <v>#DIV/0!</v>
      </c>
      <c r="P658" s="283" t="e">
        <f t="shared" si="247"/>
        <v>#DIV/0!</v>
      </c>
      <c r="Q658" s="667" t="e">
        <f t="shared" si="247"/>
        <v>#DIV/0!</v>
      </c>
      <c r="R658" s="283"/>
      <c r="S658" s="283"/>
      <c r="T658" s="182"/>
      <c r="U658" s="182"/>
      <c r="V658" s="182"/>
      <c r="W658" s="182"/>
      <c r="X658" s="182"/>
      <c r="Y658" s="182"/>
      <c r="Z658" s="182"/>
      <c r="AA658" s="182"/>
      <c r="AB658" s="182"/>
      <c r="AC658" s="182"/>
      <c r="AD658" s="182"/>
      <c r="AE658" s="182"/>
      <c r="AF658" s="182"/>
      <c r="AG658" s="182"/>
      <c r="AH658" s="182"/>
      <c r="AI658" s="182"/>
      <c r="AJ658" s="182"/>
      <c r="AK658" s="182"/>
      <c r="AL658" s="182"/>
      <c r="AM658" s="182"/>
      <c r="AN658" s="182"/>
      <c r="AO658" s="182"/>
      <c r="AP658" s="182"/>
      <c r="AQ658" s="182"/>
      <c r="AR658" s="182"/>
      <c r="AS658" s="182"/>
      <c r="AT658" s="182"/>
      <c r="AU658" s="182"/>
      <c r="AV658" s="182"/>
      <c r="AW658" s="182"/>
      <c r="AX658" s="182"/>
      <c r="AY658" s="182"/>
      <c r="AZ658" s="182"/>
      <c r="BA658" s="182"/>
      <c r="BB658" s="182"/>
      <c r="BC658" s="182"/>
      <c r="BD658" s="182"/>
      <c r="BE658" s="182"/>
    </row>
    <row r="659" spans="3:57">
      <c r="C659" s="664">
        <v>4</v>
      </c>
      <c r="D659" s="283"/>
      <c r="E659" s="283"/>
      <c r="F659" s="283" t="e">
        <f t="shared" si="247"/>
        <v>#DIV/0!</v>
      </c>
      <c r="G659" s="283" t="e">
        <f t="shared" si="247"/>
        <v>#DIV/0!</v>
      </c>
      <c r="H659" s="283" t="e">
        <f t="shared" si="247"/>
        <v>#DIV/0!</v>
      </c>
      <c r="I659" s="283" t="e">
        <f t="shared" si="247"/>
        <v>#DIV/0!</v>
      </c>
      <c r="J659" s="283" t="e">
        <f t="shared" si="247"/>
        <v>#DIV/0!</v>
      </c>
      <c r="K659" s="283" t="e">
        <f t="shared" si="247"/>
        <v>#DIV/0!</v>
      </c>
      <c r="L659" s="283" t="e">
        <f t="shared" si="247"/>
        <v>#DIV/0!</v>
      </c>
      <c r="M659" s="283" t="e">
        <f t="shared" si="247"/>
        <v>#DIV/0!</v>
      </c>
      <c r="N659" s="283" t="e">
        <f t="shared" si="247"/>
        <v>#DIV/0!</v>
      </c>
      <c r="O659" s="283" t="e">
        <f t="shared" si="247"/>
        <v>#DIV/0!</v>
      </c>
      <c r="P659" s="283" t="e">
        <f t="shared" si="247"/>
        <v>#DIV/0!</v>
      </c>
      <c r="Q659" s="667" t="e">
        <f t="shared" si="247"/>
        <v>#DIV/0!</v>
      </c>
      <c r="R659" s="283"/>
      <c r="S659" s="283"/>
      <c r="T659" s="182"/>
      <c r="U659" s="182"/>
      <c r="V659" s="182"/>
      <c r="W659" s="182"/>
      <c r="X659" s="182"/>
      <c r="Y659" s="182"/>
      <c r="Z659" s="182"/>
      <c r="AA659" s="182"/>
      <c r="AB659" s="182"/>
      <c r="AC659" s="182"/>
      <c r="AD659" s="182"/>
      <c r="AE659" s="182"/>
      <c r="AF659" s="182"/>
      <c r="AG659" s="182"/>
      <c r="AH659" s="182"/>
      <c r="AI659" s="182"/>
      <c r="AJ659" s="182"/>
      <c r="AK659" s="182"/>
      <c r="AL659" s="182"/>
      <c r="AM659" s="182"/>
      <c r="AN659" s="182"/>
      <c r="AO659" s="182"/>
      <c r="AP659" s="182"/>
      <c r="AQ659" s="182"/>
      <c r="AR659" s="182"/>
      <c r="AS659" s="182"/>
      <c r="AT659" s="182"/>
      <c r="AU659" s="182"/>
      <c r="AV659" s="182"/>
      <c r="AW659" s="182"/>
      <c r="AX659" s="182"/>
      <c r="AY659" s="182"/>
      <c r="AZ659" s="182"/>
      <c r="BA659" s="182"/>
      <c r="BB659" s="182"/>
      <c r="BC659" s="182"/>
      <c r="BD659" s="182"/>
      <c r="BE659" s="182"/>
    </row>
    <row r="660" spans="3:57">
      <c r="C660" s="664">
        <v>5</v>
      </c>
      <c r="D660" s="283"/>
      <c r="E660" s="283"/>
      <c r="F660" s="283" t="e">
        <f t="shared" si="247"/>
        <v>#DIV/0!</v>
      </c>
      <c r="G660" s="283" t="e">
        <f t="shared" si="247"/>
        <v>#DIV/0!</v>
      </c>
      <c r="H660" s="283" t="e">
        <f t="shared" si="247"/>
        <v>#DIV/0!</v>
      </c>
      <c r="I660" s="283" t="e">
        <f t="shared" si="247"/>
        <v>#DIV/0!</v>
      </c>
      <c r="J660" s="283" t="e">
        <f t="shared" si="247"/>
        <v>#DIV/0!</v>
      </c>
      <c r="K660" s="283" t="e">
        <f t="shared" si="247"/>
        <v>#DIV/0!</v>
      </c>
      <c r="L660" s="283" t="e">
        <f t="shared" si="247"/>
        <v>#DIV/0!</v>
      </c>
      <c r="M660" s="283" t="e">
        <f t="shared" si="247"/>
        <v>#DIV/0!</v>
      </c>
      <c r="N660" s="283" t="e">
        <f t="shared" si="247"/>
        <v>#DIV/0!</v>
      </c>
      <c r="O660" s="283" t="e">
        <f t="shared" si="247"/>
        <v>#DIV/0!</v>
      </c>
      <c r="P660" s="283" t="e">
        <f t="shared" si="247"/>
        <v>#DIV/0!</v>
      </c>
      <c r="Q660" s="667" t="e">
        <f t="shared" si="247"/>
        <v>#DIV/0!</v>
      </c>
      <c r="R660" s="283"/>
      <c r="S660" s="283"/>
      <c r="T660" s="182"/>
      <c r="U660" s="182"/>
      <c r="V660" s="182"/>
      <c r="W660" s="182"/>
      <c r="X660" s="182"/>
      <c r="Y660" s="182"/>
      <c r="Z660" s="182"/>
      <c r="AA660" s="182"/>
      <c r="AB660" s="182"/>
      <c r="AC660" s="182"/>
      <c r="AD660" s="182"/>
      <c r="AE660" s="182"/>
      <c r="AF660" s="182"/>
      <c r="AG660" s="182"/>
      <c r="AH660" s="182"/>
      <c r="AI660" s="182"/>
      <c r="AJ660" s="182"/>
      <c r="AK660" s="182"/>
      <c r="AL660" s="182"/>
      <c r="AM660" s="182"/>
      <c r="AN660" s="182"/>
      <c r="AO660" s="182"/>
      <c r="AP660" s="182"/>
      <c r="AQ660" s="182"/>
      <c r="AR660" s="182"/>
      <c r="AS660" s="182"/>
      <c r="AT660" s="182"/>
      <c r="AU660" s="182"/>
      <c r="AV660" s="182"/>
      <c r="AW660" s="182"/>
      <c r="AX660" s="182"/>
      <c r="AY660" s="182"/>
      <c r="AZ660" s="182"/>
      <c r="BA660" s="182"/>
      <c r="BB660" s="182"/>
      <c r="BC660" s="182"/>
      <c r="BD660" s="182"/>
      <c r="BE660" s="182"/>
    </row>
    <row r="661" spans="3:57">
      <c r="C661" s="664">
        <v>6</v>
      </c>
      <c r="D661" s="283"/>
      <c r="E661" s="283"/>
      <c r="F661" s="283" t="e">
        <f t="shared" si="247"/>
        <v>#DIV/0!</v>
      </c>
      <c r="G661" s="283" t="e">
        <f t="shared" si="247"/>
        <v>#DIV/0!</v>
      </c>
      <c r="H661" s="283" t="e">
        <f t="shared" si="247"/>
        <v>#DIV/0!</v>
      </c>
      <c r="I661" s="283" t="e">
        <f t="shared" si="247"/>
        <v>#DIV/0!</v>
      </c>
      <c r="J661" s="283" t="e">
        <f t="shared" si="247"/>
        <v>#DIV/0!</v>
      </c>
      <c r="K661" s="283" t="e">
        <f t="shared" si="247"/>
        <v>#DIV/0!</v>
      </c>
      <c r="L661" s="283" t="e">
        <f t="shared" si="247"/>
        <v>#DIV/0!</v>
      </c>
      <c r="M661" s="283" t="e">
        <f t="shared" si="247"/>
        <v>#DIV/0!</v>
      </c>
      <c r="N661" s="283" t="e">
        <f t="shared" si="247"/>
        <v>#DIV/0!</v>
      </c>
      <c r="O661" s="283" t="e">
        <f t="shared" si="247"/>
        <v>#DIV/0!</v>
      </c>
      <c r="P661" s="283" t="e">
        <f t="shared" si="247"/>
        <v>#DIV/0!</v>
      </c>
      <c r="Q661" s="667" t="e">
        <f t="shared" si="247"/>
        <v>#DIV/0!</v>
      </c>
      <c r="R661" s="283"/>
      <c r="S661" s="283"/>
      <c r="T661" s="182"/>
      <c r="U661" s="182"/>
      <c r="V661" s="182"/>
      <c r="W661" s="182"/>
      <c r="X661" s="182"/>
      <c r="Y661" s="182"/>
      <c r="Z661" s="182"/>
      <c r="AA661" s="182"/>
      <c r="AB661" s="182"/>
      <c r="AC661" s="182"/>
      <c r="AD661" s="182"/>
      <c r="AE661" s="182"/>
      <c r="AF661" s="182"/>
      <c r="AG661" s="182"/>
      <c r="AH661" s="182"/>
      <c r="AI661" s="182"/>
      <c r="AJ661" s="182"/>
      <c r="AK661" s="182"/>
      <c r="AL661" s="182"/>
      <c r="AM661" s="182"/>
      <c r="AN661" s="182"/>
      <c r="AO661" s="182"/>
      <c r="AP661" s="182"/>
      <c r="AQ661" s="182"/>
      <c r="AR661" s="182"/>
      <c r="AS661" s="182"/>
      <c r="AT661" s="182"/>
      <c r="AU661" s="182"/>
      <c r="AV661" s="182"/>
      <c r="AW661" s="182"/>
      <c r="AX661" s="182"/>
      <c r="AY661" s="182"/>
      <c r="AZ661" s="182"/>
      <c r="BA661" s="182"/>
      <c r="BB661" s="182"/>
      <c r="BC661" s="182"/>
      <c r="BD661" s="182"/>
      <c r="BE661" s="182"/>
    </row>
    <row r="662" spans="3:57">
      <c r="C662" s="664">
        <v>7</v>
      </c>
      <c r="D662" s="283"/>
      <c r="E662" s="283"/>
      <c r="F662" s="283" t="e">
        <f t="shared" si="247"/>
        <v>#DIV/0!</v>
      </c>
      <c r="G662" s="283" t="e">
        <f t="shared" si="247"/>
        <v>#DIV/0!</v>
      </c>
      <c r="H662" s="283" t="e">
        <f t="shared" si="247"/>
        <v>#DIV/0!</v>
      </c>
      <c r="I662" s="283" t="e">
        <f t="shared" si="247"/>
        <v>#DIV/0!</v>
      </c>
      <c r="J662" s="283" t="e">
        <f t="shared" si="247"/>
        <v>#DIV/0!</v>
      </c>
      <c r="K662" s="283" t="e">
        <f t="shared" si="247"/>
        <v>#DIV/0!</v>
      </c>
      <c r="L662" s="283" t="e">
        <f t="shared" si="247"/>
        <v>#DIV/0!</v>
      </c>
      <c r="M662" s="283" t="e">
        <f t="shared" si="247"/>
        <v>#DIV/0!</v>
      </c>
      <c r="N662" s="283" t="e">
        <f t="shared" si="247"/>
        <v>#DIV/0!</v>
      </c>
      <c r="O662" s="283" t="e">
        <f t="shared" si="247"/>
        <v>#DIV/0!</v>
      </c>
      <c r="P662" s="283" t="e">
        <f t="shared" si="247"/>
        <v>#DIV/0!</v>
      </c>
      <c r="Q662" s="667" t="e">
        <f t="shared" si="247"/>
        <v>#DIV/0!</v>
      </c>
      <c r="R662" s="283"/>
      <c r="S662" s="283"/>
      <c r="T662" s="182"/>
      <c r="U662" s="182"/>
      <c r="V662" s="182"/>
      <c r="W662" s="182"/>
      <c r="X662" s="182"/>
      <c r="Y662" s="182"/>
      <c r="Z662" s="182"/>
      <c r="AA662" s="182"/>
      <c r="AB662" s="182"/>
      <c r="AC662" s="182"/>
      <c r="AD662" s="182"/>
      <c r="AE662" s="182"/>
      <c r="AF662" s="182"/>
      <c r="AG662" s="182"/>
      <c r="AH662" s="182"/>
      <c r="AI662" s="182"/>
      <c r="AJ662" s="182"/>
      <c r="AK662" s="182"/>
      <c r="AL662" s="182"/>
      <c r="AM662" s="182"/>
      <c r="AN662" s="182"/>
      <c r="AO662" s="182"/>
      <c r="AP662" s="182"/>
      <c r="AQ662" s="182"/>
      <c r="AR662" s="182"/>
      <c r="AS662" s="182"/>
      <c r="AT662" s="182"/>
      <c r="AU662" s="182"/>
      <c r="AV662" s="182"/>
      <c r="AW662" s="182"/>
      <c r="AX662" s="182"/>
      <c r="AY662" s="182"/>
      <c r="AZ662" s="182"/>
      <c r="BA662" s="182"/>
      <c r="BB662" s="182"/>
      <c r="BC662" s="182"/>
      <c r="BD662" s="182"/>
      <c r="BE662" s="182"/>
    </row>
    <row r="663" spans="3:57">
      <c r="C663" s="664">
        <v>8</v>
      </c>
      <c r="D663" s="283"/>
      <c r="E663" s="283"/>
      <c r="F663" s="283" t="e">
        <f t="shared" si="247"/>
        <v>#DIV/0!</v>
      </c>
      <c r="G663" s="283" t="e">
        <f t="shared" si="247"/>
        <v>#DIV/0!</v>
      </c>
      <c r="H663" s="283" t="e">
        <f t="shared" si="247"/>
        <v>#DIV/0!</v>
      </c>
      <c r="I663" s="283" t="e">
        <f t="shared" si="247"/>
        <v>#DIV/0!</v>
      </c>
      <c r="J663" s="283" t="e">
        <f t="shared" si="247"/>
        <v>#DIV/0!</v>
      </c>
      <c r="K663" s="283" t="e">
        <f t="shared" si="247"/>
        <v>#DIV/0!</v>
      </c>
      <c r="L663" s="283" t="e">
        <f t="shared" si="247"/>
        <v>#DIV/0!</v>
      </c>
      <c r="M663" s="283" t="e">
        <f t="shared" si="247"/>
        <v>#DIV/0!</v>
      </c>
      <c r="N663" s="283" t="e">
        <f t="shared" si="247"/>
        <v>#DIV/0!</v>
      </c>
      <c r="O663" s="283" t="e">
        <f t="shared" si="247"/>
        <v>#DIV/0!</v>
      </c>
      <c r="P663" s="283" t="e">
        <f t="shared" si="247"/>
        <v>#DIV/0!</v>
      </c>
      <c r="Q663" s="667" t="e">
        <f t="shared" si="247"/>
        <v>#DIV/0!</v>
      </c>
      <c r="R663" s="283"/>
      <c r="S663" s="283"/>
      <c r="T663" s="182"/>
      <c r="U663" s="182"/>
      <c r="V663" s="182"/>
      <c r="W663" s="182"/>
      <c r="X663" s="182"/>
      <c r="Y663" s="182"/>
      <c r="Z663" s="182"/>
      <c r="AA663" s="182"/>
      <c r="AB663" s="182"/>
      <c r="AC663" s="182"/>
      <c r="AD663" s="182"/>
      <c r="AE663" s="182"/>
      <c r="AF663" s="182"/>
      <c r="AG663" s="182"/>
      <c r="AH663" s="182"/>
      <c r="AI663" s="182"/>
      <c r="AJ663" s="182"/>
      <c r="AK663" s="182"/>
      <c r="AL663" s="182"/>
      <c r="AM663" s="182"/>
      <c r="AN663" s="182"/>
      <c r="AO663" s="182"/>
      <c r="AP663" s="182"/>
      <c r="AQ663" s="182"/>
      <c r="AR663" s="182"/>
      <c r="AS663" s="182"/>
      <c r="AT663" s="182"/>
      <c r="AU663" s="182"/>
      <c r="AV663" s="182"/>
      <c r="AW663" s="182"/>
      <c r="AX663" s="182"/>
      <c r="AY663" s="182"/>
      <c r="AZ663" s="182"/>
      <c r="BA663" s="182"/>
      <c r="BB663" s="182"/>
      <c r="BC663" s="182"/>
      <c r="BD663" s="182"/>
      <c r="BE663" s="182"/>
    </row>
    <row r="664" spans="3:57">
      <c r="C664" s="664">
        <v>9</v>
      </c>
      <c r="D664" s="283"/>
      <c r="E664" s="283"/>
      <c r="F664" s="283" t="e">
        <f t="shared" si="247"/>
        <v>#DIV/0!</v>
      </c>
      <c r="G664" s="283" t="e">
        <f t="shared" si="247"/>
        <v>#DIV/0!</v>
      </c>
      <c r="H664" s="283" t="e">
        <f t="shared" si="247"/>
        <v>#DIV/0!</v>
      </c>
      <c r="I664" s="283" t="e">
        <f t="shared" si="247"/>
        <v>#DIV/0!</v>
      </c>
      <c r="J664" s="283" t="e">
        <f t="shared" si="247"/>
        <v>#DIV/0!</v>
      </c>
      <c r="K664" s="283" t="e">
        <f t="shared" si="247"/>
        <v>#DIV/0!</v>
      </c>
      <c r="L664" s="283" t="e">
        <f t="shared" si="247"/>
        <v>#DIV/0!</v>
      </c>
      <c r="M664" s="283" t="e">
        <f t="shared" si="247"/>
        <v>#DIV/0!</v>
      </c>
      <c r="N664" s="283" t="e">
        <f t="shared" si="247"/>
        <v>#DIV/0!</v>
      </c>
      <c r="O664" s="283" t="e">
        <f t="shared" si="247"/>
        <v>#DIV/0!</v>
      </c>
      <c r="P664" s="283" t="e">
        <f t="shared" si="247"/>
        <v>#DIV/0!</v>
      </c>
      <c r="Q664" s="667" t="e">
        <f t="shared" si="247"/>
        <v>#DIV/0!</v>
      </c>
      <c r="R664" s="283"/>
      <c r="S664" s="283"/>
      <c r="T664" s="182"/>
      <c r="U664" s="182"/>
      <c r="V664" s="182"/>
      <c r="W664" s="182"/>
      <c r="X664" s="182"/>
      <c r="Y664" s="182"/>
      <c r="Z664" s="182"/>
      <c r="AA664" s="182"/>
      <c r="AB664" s="182"/>
      <c r="AC664" s="182"/>
      <c r="AD664" s="182"/>
      <c r="AE664" s="182"/>
      <c r="AF664" s="182"/>
      <c r="AG664" s="182"/>
      <c r="AH664" s="182"/>
      <c r="AI664" s="182"/>
      <c r="AJ664" s="182"/>
      <c r="AK664" s="182"/>
      <c r="AL664" s="182"/>
      <c r="AM664" s="182"/>
      <c r="AN664" s="182"/>
      <c r="AO664" s="182"/>
      <c r="AP664" s="182"/>
      <c r="AQ664" s="182"/>
      <c r="AR664" s="182"/>
      <c r="AS664" s="182"/>
      <c r="AT664" s="182"/>
      <c r="AU664" s="182"/>
      <c r="AV664" s="182"/>
      <c r="AW664" s="182"/>
      <c r="AX664" s="182"/>
      <c r="AY664" s="182"/>
      <c r="AZ664" s="182"/>
      <c r="BA664" s="182"/>
      <c r="BB664" s="182"/>
      <c r="BC664" s="182"/>
      <c r="BD664" s="182"/>
      <c r="BE664" s="182"/>
    </row>
    <row r="665" spans="3:57">
      <c r="C665" s="664">
        <v>10</v>
      </c>
      <c r="D665" s="283"/>
      <c r="E665" s="283"/>
      <c r="F665" s="283" t="e">
        <f t="shared" si="247"/>
        <v>#DIV/0!</v>
      </c>
      <c r="G665" s="283" t="e">
        <f t="shared" si="247"/>
        <v>#DIV/0!</v>
      </c>
      <c r="H665" s="283" t="e">
        <f t="shared" si="247"/>
        <v>#DIV/0!</v>
      </c>
      <c r="I665" s="283" t="e">
        <f t="shared" si="247"/>
        <v>#DIV/0!</v>
      </c>
      <c r="J665" s="283" t="e">
        <f t="shared" si="247"/>
        <v>#DIV/0!</v>
      </c>
      <c r="K665" s="283" t="e">
        <f t="shared" si="247"/>
        <v>#DIV/0!</v>
      </c>
      <c r="L665" s="283" t="e">
        <f t="shared" si="247"/>
        <v>#DIV/0!</v>
      </c>
      <c r="M665" s="283" t="e">
        <f t="shared" si="247"/>
        <v>#DIV/0!</v>
      </c>
      <c r="N665" s="283" t="e">
        <f t="shared" si="247"/>
        <v>#DIV/0!</v>
      </c>
      <c r="O665" s="283" t="e">
        <f t="shared" si="247"/>
        <v>#DIV/0!</v>
      </c>
      <c r="P665" s="283" t="e">
        <f t="shared" si="247"/>
        <v>#DIV/0!</v>
      </c>
      <c r="Q665" s="667" t="e">
        <f t="shared" si="247"/>
        <v>#DIV/0!</v>
      </c>
      <c r="R665" s="283"/>
      <c r="S665" s="283"/>
      <c r="T665" s="182"/>
      <c r="U665" s="182"/>
      <c r="V665" s="182"/>
      <c r="W665" s="182"/>
      <c r="X665" s="182"/>
      <c r="Y665" s="182"/>
      <c r="Z665" s="182"/>
      <c r="AA665" s="182"/>
      <c r="AB665" s="182"/>
      <c r="AC665" s="182"/>
      <c r="AD665" s="182"/>
      <c r="AE665" s="182"/>
      <c r="AF665" s="182"/>
      <c r="AG665" s="182"/>
      <c r="AH665" s="182"/>
      <c r="AI665" s="182"/>
      <c r="AJ665" s="182"/>
      <c r="AK665" s="182"/>
      <c r="AL665" s="182"/>
      <c r="AM665" s="182"/>
      <c r="AN665" s="182"/>
      <c r="AO665" s="182"/>
      <c r="AP665" s="182"/>
      <c r="AQ665" s="182"/>
      <c r="AR665" s="182"/>
      <c r="AS665" s="182"/>
      <c r="AT665" s="182"/>
      <c r="AU665" s="182"/>
      <c r="AV665" s="182"/>
      <c r="AW665" s="182"/>
      <c r="AX665" s="182"/>
      <c r="AY665" s="182"/>
      <c r="AZ665" s="182"/>
      <c r="BA665" s="182"/>
      <c r="BB665" s="182"/>
      <c r="BC665" s="182"/>
      <c r="BD665" s="182"/>
      <c r="BE665" s="182"/>
    </row>
    <row r="666" spans="3:57">
      <c r="C666" s="664">
        <v>11</v>
      </c>
      <c r="D666" s="283"/>
      <c r="E666" s="283"/>
      <c r="F666" s="283" t="e">
        <f t="shared" ref="F666:Q675" si="248">-F$652*F$645*HLOOKUP((F$644+$C666),$D$581:$BA$582,2,FALSE)</f>
        <v>#DIV/0!</v>
      </c>
      <c r="G666" s="283" t="e">
        <f t="shared" si="248"/>
        <v>#DIV/0!</v>
      </c>
      <c r="H666" s="283" t="e">
        <f t="shared" si="248"/>
        <v>#DIV/0!</v>
      </c>
      <c r="I666" s="283" t="e">
        <f t="shared" si="248"/>
        <v>#DIV/0!</v>
      </c>
      <c r="J666" s="283" t="e">
        <f t="shared" si="248"/>
        <v>#DIV/0!</v>
      </c>
      <c r="K666" s="283" t="e">
        <f t="shared" si="248"/>
        <v>#DIV/0!</v>
      </c>
      <c r="L666" s="283" t="e">
        <f t="shared" si="248"/>
        <v>#DIV/0!</v>
      </c>
      <c r="M666" s="283" t="e">
        <f t="shared" si="248"/>
        <v>#DIV/0!</v>
      </c>
      <c r="N666" s="283" t="e">
        <f t="shared" si="248"/>
        <v>#DIV/0!</v>
      </c>
      <c r="O666" s="283" t="e">
        <f t="shared" si="248"/>
        <v>#DIV/0!</v>
      </c>
      <c r="P666" s="283" t="e">
        <f t="shared" si="248"/>
        <v>#DIV/0!</v>
      </c>
      <c r="Q666" s="667" t="e">
        <f t="shared" si="248"/>
        <v>#DIV/0!</v>
      </c>
      <c r="R666" s="283"/>
      <c r="S666" s="283"/>
      <c r="T666" s="182"/>
      <c r="U666" s="182"/>
      <c r="V666" s="182"/>
      <c r="W666" s="182"/>
      <c r="X666" s="182"/>
      <c r="Y666" s="182"/>
      <c r="Z666" s="182"/>
      <c r="AA666" s="182"/>
      <c r="AB666" s="182"/>
      <c r="AC666" s="182"/>
      <c r="AD666" s="182"/>
      <c r="AE666" s="182"/>
      <c r="AF666" s="182"/>
      <c r="AG666" s="182"/>
      <c r="AH666" s="182"/>
      <c r="AI666" s="182"/>
      <c r="AJ666" s="182"/>
      <c r="AK666" s="182"/>
      <c r="AL666" s="182"/>
      <c r="AM666" s="182"/>
      <c r="AN666" s="182"/>
      <c r="AO666" s="182"/>
      <c r="AP666" s="182"/>
      <c r="AQ666" s="182"/>
      <c r="AR666" s="182"/>
      <c r="AS666" s="182"/>
      <c r="AT666" s="182"/>
      <c r="AU666" s="182"/>
      <c r="AV666" s="182"/>
      <c r="AW666" s="182"/>
      <c r="AX666" s="182"/>
      <c r="AY666" s="182"/>
      <c r="AZ666" s="182"/>
      <c r="BA666" s="182"/>
      <c r="BB666" s="182"/>
      <c r="BC666" s="182"/>
      <c r="BD666" s="182"/>
      <c r="BE666" s="182"/>
    </row>
    <row r="667" spans="3:57">
      <c r="C667" s="664">
        <v>12</v>
      </c>
      <c r="D667" s="283"/>
      <c r="E667" s="283"/>
      <c r="F667" s="283" t="e">
        <f t="shared" si="248"/>
        <v>#DIV/0!</v>
      </c>
      <c r="G667" s="283" t="e">
        <f t="shared" si="248"/>
        <v>#DIV/0!</v>
      </c>
      <c r="H667" s="283" t="e">
        <f t="shared" si="248"/>
        <v>#DIV/0!</v>
      </c>
      <c r="I667" s="283" t="e">
        <f t="shared" si="248"/>
        <v>#DIV/0!</v>
      </c>
      <c r="J667" s="283" t="e">
        <f t="shared" si="248"/>
        <v>#DIV/0!</v>
      </c>
      <c r="K667" s="283" t="e">
        <f t="shared" si="248"/>
        <v>#DIV/0!</v>
      </c>
      <c r="L667" s="283" t="e">
        <f t="shared" si="248"/>
        <v>#DIV/0!</v>
      </c>
      <c r="M667" s="283" t="e">
        <f t="shared" si="248"/>
        <v>#DIV/0!</v>
      </c>
      <c r="N667" s="283" t="e">
        <f t="shared" si="248"/>
        <v>#DIV/0!</v>
      </c>
      <c r="O667" s="283" t="e">
        <f t="shared" si="248"/>
        <v>#DIV/0!</v>
      </c>
      <c r="P667" s="283" t="e">
        <f t="shared" si="248"/>
        <v>#DIV/0!</v>
      </c>
      <c r="Q667" s="667" t="e">
        <f t="shared" si="248"/>
        <v>#DIV/0!</v>
      </c>
      <c r="R667" s="283"/>
      <c r="S667" s="283"/>
      <c r="T667" s="182"/>
      <c r="U667" s="182"/>
      <c r="V667" s="182"/>
      <c r="W667" s="182"/>
      <c r="X667" s="182"/>
      <c r="Y667" s="182"/>
      <c r="Z667" s="182"/>
      <c r="AA667" s="182"/>
      <c r="AB667" s="182"/>
      <c r="AC667" s="182"/>
      <c r="AD667" s="182"/>
      <c r="AE667" s="182"/>
      <c r="AF667" s="182"/>
      <c r="AG667" s="182"/>
      <c r="AH667" s="182"/>
      <c r="AI667" s="182"/>
      <c r="AJ667" s="182"/>
      <c r="AK667" s="182"/>
      <c r="AL667" s="182"/>
      <c r="AM667" s="182"/>
      <c r="AN667" s="182"/>
      <c r="AO667" s="182"/>
      <c r="AP667" s="182"/>
      <c r="AQ667" s="182"/>
      <c r="AR667" s="182"/>
      <c r="AS667" s="182"/>
      <c r="AT667" s="182"/>
      <c r="AU667" s="182"/>
      <c r="AV667" s="182"/>
      <c r="AW667" s="182"/>
      <c r="AX667" s="182"/>
      <c r="AY667" s="182"/>
      <c r="AZ667" s="182"/>
      <c r="BA667" s="182"/>
      <c r="BB667" s="182"/>
      <c r="BC667" s="182"/>
      <c r="BD667" s="182"/>
      <c r="BE667" s="182"/>
    </row>
    <row r="668" spans="3:57">
      <c r="C668" s="664">
        <v>13</v>
      </c>
      <c r="D668" s="283"/>
      <c r="E668" s="283"/>
      <c r="F668" s="283" t="e">
        <f t="shared" si="248"/>
        <v>#DIV/0!</v>
      </c>
      <c r="G668" s="283" t="e">
        <f t="shared" si="248"/>
        <v>#DIV/0!</v>
      </c>
      <c r="H668" s="283" t="e">
        <f t="shared" si="248"/>
        <v>#DIV/0!</v>
      </c>
      <c r="I668" s="283" t="e">
        <f t="shared" si="248"/>
        <v>#DIV/0!</v>
      </c>
      <c r="J668" s="283" t="e">
        <f t="shared" si="248"/>
        <v>#DIV/0!</v>
      </c>
      <c r="K668" s="283" t="e">
        <f t="shared" si="248"/>
        <v>#DIV/0!</v>
      </c>
      <c r="L668" s="283" t="e">
        <f t="shared" si="248"/>
        <v>#DIV/0!</v>
      </c>
      <c r="M668" s="283" t="e">
        <f t="shared" si="248"/>
        <v>#DIV/0!</v>
      </c>
      <c r="N668" s="283" t="e">
        <f t="shared" si="248"/>
        <v>#DIV/0!</v>
      </c>
      <c r="O668" s="283" t="e">
        <f t="shared" si="248"/>
        <v>#DIV/0!</v>
      </c>
      <c r="P668" s="283" t="e">
        <f t="shared" si="248"/>
        <v>#DIV/0!</v>
      </c>
      <c r="Q668" s="667" t="e">
        <f t="shared" si="248"/>
        <v>#DIV/0!</v>
      </c>
      <c r="R668" s="283"/>
      <c r="S668" s="283"/>
      <c r="T668" s="182"/>
      <c r="U668" s="182"/>
      <c r="V668" s="182"/>
      <c r="W668" s="182"/>
      <c r="X668" s="182"/>
      <c r="Y668" s="182"/>
      <c r="Z668" s="182"/>
      <c r="AA668" s="182"/>
      <c r="AB668" s="182"/>
      <c r="AC668" s="182"/>
      <c r="AD668" s="182"/>
      <c r="AE668" s="182"/>
      <c r="AF668" s="182"/>
      <c r="AG668" s="182"/>
      <c r="AH668" s="182"/>
      <c r="AI668" s="182"/>
      <c r="AJ668" s="182"/>
      <c r="AK668" s="182"/>
      <c r="AL668" s="182"/>
      <c r="AM668" s="182"/>
      <c r="AN668" s="182"/>
      <c r="AO668" s="182"/>
      <c r="AP668" s="182"/>
      <c r="AQ668" s="182"/>
      <c r="AR668" s="182"/>
      <c r="AS668" s="182"/>
      <c r="AT668" s="182"/>
      <c r="AU668" s="182"/>
      <c r="AV668" s="182"/>
      <c r="AW668" s="182"/>
      <c r="AX668" s="182"/>
      <c r="AY668" s="182"/>
      <c r="AZ668" s="182"/>
      <c r="BA668" s="182"/>
      <c r="BB668" s="182"/>
      <c r="BC668" s="182"/>
      <c r="BD668" s="182"/>
      <c r="BE668" s="182"/>
    </row>
    <row r="669" spans="3:57">
      <c r="C669" s="664">
        <v>14</v>
      </c>
      <c r="D669" s="283"/>
      <c r="E669" s="283"/>
      <c r="F669" s="283" t="e">
        <f t="shared" si="248"/>
        <v>#DIV/0!</v>
      </c>
      <c r="G669" s="283" t="e">
        <f t="shared" si="248"/>
        <v>#DIV/0!</v>
      </c>
      <c r="H669" s="283" t="e">
        <f t="shared" si="248"/>
        <v>#DIV/0!</v>
      </c>
      <c r="I669" s="283" t="e">
        <f t="shared" si="248"/>
        <v>#DIV/0!</v>
      </c>
      <c r="J669" s="283" t="e">
        <f t="shared" si="248"/>
        <v>#DIV/0!</v>
      </c>
      <c r="K669" s="283" t="e">
        <f t="shared" si="248"/>
        <v>#DIV/0!</v>
      </c>
      <c r="L669" s="283" t="e">
        <f t="shared" si="248"/>
        <v>#DIV/0!</v>
      </c>
      <c r="M669" s="283" t="e">
        <f t="shared" si="248"/>
        <v>#DIV/0!</v>
      </c>
      <c r="N669" s="283" t="e">
        <f t="shared" si="248"/>
        <v>#DIV/0!</v>
      </c>
      <c r="O669" s="283" t="e">
        <f t="shared" si="248"/>
        <v>#DIV/0!</v>
      </c>
      <c r="P669" s="283" t="e">
        <f t="shared" si="248"/>
        <v>#DIV/0!</v>
      </c>
      <c r="Q669" s="667" t="e">
        <f t="shared" si="248"/>
        <v>#DIV/0!</v>
      </c>
      <c r="R669" s="283"/>
      <c r="S669" s="283"/>
      <c r="T669" s="182"/>
      <c r="U669" s="182"/>
      <c r="V669" s="182"/>
      <c r="W669" s="182"/>
      <c r="X669" s="182"/>
      <c r="Y669" s="182"/>
      <c r="Z669" s="182"/>
      <c r="AA669" s="182"/>
      <c r="AB669" s="182"/>
      <c r="AC669" s="182"/>
      <c r="AD669" s="182"/>
      <c r="AE669" s="182"/>
      <c r="AF669" s="182"/>
      <c r="AG669" s="182"/>
      <c r="AH669" s="182"/>
      <c r="AI669" s="182"/>
      <c r="AJ669" s="182"/>
      <c r="AK669" s="182"/>
      <c r="AL669" s="182"/>
      <c r="AM669" s="182"/>
      <c r="AN669" s="182"/>
      <c r="AO669" s="182"/>
      <c r="AP669" s="182"/>
      <c r="AQ669" s="182"/>
      <c r="AR669" s="182"/>
      <c r="AS669" s="182"/>
      <c r="AT669" s="182"/>
      <c r="AU669" s="182"/>
      <c r="AV669" s="182"/>
      <c r="AW669" s="182"/>
      <c r="AX669" s="182"/>
      <c r="AY669" s="182"/>
      <c r="AZ669" s="182"/>
      <c r="BA669" s="182"/>
      <c r="BB669" s="182"/>
      <c r="BC669" s="182"/>
      <c r="BD669" s="182"/>
      <c r="BE669" s="182"/>
    </row>
    <row r="670" spans="3:57">
      <c r="C670" s="664">
        <v>15</v>
      </c>
      <c r="D670" s="283"/>
      <c r="E670" s="283"/>
      <c r="F670" s="283" t="e">
        <f t="shared" si="248"/>
        <v>#DIV/0!</v>
      </c>
      <c r="G670" s="283" t="e">
        <f t="shared" si="248"/>
        <v>#DIV/0!</v>
      </c>
      <c r="H670" s="283" t="e">
        <f t="shared" si="248"/>
        <v>#DIV/0!</v>
      </c>
      <c r="I670" s="283" t="e">
        <f t="shared" si="248"/>
        <v>#DIV/0!</v>
      </c>
      <c r="J670" s="283" t="e">
        <f t="shared" si="248"/>
        <v>#DIV/0!</v>
      </c>
      <c r="K670" s="283" t="e">
        <f t="shared" si="248"/>
        <v>#DIV/0!</v>
      </c>
      <c r="L670" s="283" t="e">
        <f t="shared" si="248"/>
        <v>#DIV/0!</v>
      </c>
      <c r="M670" s="283" t="e">
        <f t="shared" si="248"/>
        <v>#DIV/0!</v>
      </c>
      <c r="N670" s="283" t="e">
        <f t="shared" si="248"/>
        <v>#DIV/0!</v>
      </c>
      <c r="O670" s="283" t="e">
        <f t="shared" si="248"/>
        <v>#DIV/0!</v>
      </c>
      <c r="P670" s="283" t="e">
        <f t="shared" si="248"/>
        <v>#DIV/0!</v>
      </c>
      <c r="Q670" s="667" t="e">
        <f t="shared" si="248"/>
        <v>#DIV/0!</v>
      </c>
      <c r="R670" s="283"/>
      <c r="S670" s="283"/>
      <c r="T670" s="182"/>
      <c r="U670" s="182"/>
      <c r="V670" s="182"/>
      <c r="W670" s="182"/>
      <c r="X670" s="182"/>
      <c r="Y670" s="182"/>
      <c r="Z670" s="182"/>
      <c r="AA670" s="182"/>
      <c r="AB670" s="182"/>
      <c r="AC670" s="182"/>
      <c r="AD670" s="182"/>
      <c r="AE670" s="182"/>
      <c r="AF670" s="182"/>
      <c r="AG670" s="182"/>
      <c r="AH670" s="182"/>
      <c r="AI670" s="182"/>
      <c r="AJ670" s="182"/>
      <c r="AK670" s="182"/>
      <c r="AL670" s="182"/>
      <c r="AM670" s="182"/>
      <c r="AN670" s="182"/>
      <c r="AO670" s="182"/>
      <c r="AP670" s="182"/>
      <c r="AQ670" s="182"/>
      <c r="AR670" s="182"/>
      <c r="AS670" s="182"/>
      <c r="AT670" s="182"/>
      <c r="AU670" s="182"/>
      <c r="AV670" s="182"/>
      <c r="AW670" s="182"/>
      <c r="AX670" s="182"/>
      <c r="AY670" s="182"/>
      <c r="AZ670" s="182"/>
      <c r="BA670" s="182"/>
      <c r="BB670" s="182"/>
      <c r="BC670" s="182"/>
      <c r="BD670" s="182"/>
      <c r="BE670" s="182"/>
    </row>
    <row r="671" spans="3:57">
      <c r="C671" s="664">
        <v>16</v>
      </c>
      <c r="D671" s="283"/>
      <c r="E671" s="283"/>
      <c r="F671" s="283" t="e">
        <f t="shared" si="248"/>
        <v>#DIV/0!</v>
      </c>
      <c r="G671" s="283" t="e">
        <f t="shared" si="248"/>
        <v>#DIV/0!</v>
      </c>
      <c r="H671" s="283" t="e">
        <f t="shared" si="248"/>
        <v>#DIV/0!</v>
      </c>
      <c r="I671" s="283" t="e">
        <f t="shared" si="248"/>
        <v>#DIV/0!</v>
      </c>
      <c r="J671" s="283" t="e">
        <f t="shared" si="248"/>
        <v>#DIV/0!</v>
      </c>
      <c r="K671" s="283" t="e">
        <f t="shared" si="248"/>
        <v>#DIV/0!</v>
      </c>
      <c r="L671" s="283" t="e">
        <f t="shared" si="248"/>
        <v>#DIV/0!</v>
      </c>
      <c r="M671" s="283" t="e">
        <f t="shared" si="248"/>
        <v>#DIV/0!</v>
      </c>
      <c r="N671" s="283" t="e">
        <f t="shared" si="248"/>
        <v>#DIV/0!</v>
      </c>
      <c r="O671" s="283" t="e">
        <f t="shared" si="248"/>
        <v>#DIV/0!</v>
      </c>
      <c r="P671" s="283" t="e">
        <f t="shared" si="248"/>
        <v>#DIV/0!</v>
      </c>
      <c r="Q671" s="667" t="e">
        <f t="shared" si="248"/>
        <v>#DIV/0!</v>
      </c>
      <c r="R671" s="283"/>
      <c r="S671" s="283"/>
      <c r="T671" s="182"/>
      <c r="U671" s="182"/>
      <c r="V671" s="182"/>
      <c r="W671" s="182"/>
      <c r="X671" s="182"/>
      <c r="Y671" s="182"/>
      <c r="Z671" s="182"/>
      <c r="AA671" s="182"/>
      <c r="AB671" s="182"/>
      <c r="AC671" s="182"/>
      <c r="AD671" s="182"/>
      <c r="AE671" s="182"/>
      <c r="AF671" s="182"/>
      <c r="AG671" s="182"/>
      <c r="AH671" s="182"/>
      <c r="AI671" s="182"/>
      <c r="AJ671" s="182"/>
      <c r="AK671" s="182"/>
      <c r="AL671" s="182"/>
      <c r="AM671" s="182"/>
      <c r="AN671" s="182"/>
      <c r="AO671" s="182"/>
      <c r="AP671" s="182"/>
      <c r="AQ671" s="182"/>
      <c r="AR671" s="182"/>
      <c r="AS671" s="182"/>
      <c r="AT671" s="182"/>
      <c r="AU671" s="182"/>
      <c r="AV671" s="182"/>
      <c r="AW671" s="182"/>
      <c r="AX671" s="182"/>
      <c r="AY671" s="182"/>
      <c r="AZ671" s="182"/>
      <c r="BA671" s="182"/>
      <c r="BB671" s="182"/>
      <c r="BC671" s="182"/>
      <c r="BD671" s="182"/>
      <c r="BE671" s="182"/>
    </row>
    <row r="672" spans="3:57">
      <c r="C672" s="664">
        <v>17</v>
      </c>
      <c r="D672" s="283"/>
      <c r="E672" s="283"/>
      <c r="F672" s="283" t="e">
        <f t="shared" si="248"/>
        <v>#DIV/0!</v>
      </c>
      <c r="G672" s="283" t="e">
        <f t="shared" si="248"/>
        <v>#DIV/0!</v>
      </c>
      <c r="H672" s="283" t="e">
        <f t="shared" si="248"/>
        <v>#DIV/0!</v>
      </c>
      <c r="I672" s="283" t="e">
        <f t="shared" si="248"/>
        <v>#DIV/0!</v>
      </c>
      <c r="J672" s="283" t="e">
        <f t="shared" si="248"/>
        <v>#DIV/0!</v>
      </c>
      <c r="K672" s="283" t="e">
        <f t="shared" si="248"/>
        <v>#DIV/0!</v>
      </c>
      <c r="L672" s="283" t="e">
        <f t="shared" si="248"/>
        <v>#DIV/0!</v>
      </c>
      <c r="M672" s="283" t="e">
        <f t="shared" si="248"/>
        <v>#DIV/0!</v>
      </c>
      <c r="N672" s="283" t="e">
        <f t="shared" si="248"/>
        <v>#DIV/0!</v>
      </c>
      <c r="O672" s="283" t="e">
        <f t="shared" si="248"/>
        <v>#DIV/0!</v>
      </c>
      <c r="P672" s="283" t="e">
        <f t="shared" si="248"/>
        <v>#DIV/0!</v>
      </c>
      <c r="Q672" s="667" t="e">
        <f t="shared" si="248"/>
        <v>#DIV/0!</v>
      </c>
      <c r="R672" s="283"/>
      <c r="S672" s="283"/>
      <c r="T672" s="182"/>
      <c r="U672" s="182"/>
      <c r="V672" s="182"/>
      <c r="W672" s="182"/>
      <c r="X672" s="182"/>
      <c r="Y672" s="182"/>
      <c r="Z672" s="182"/>
      <c r="AA672" s="182"/>
      <c r="AB672" s="182"/>
      <c r="AC672" s="182"/>
      <c r="AD672" s="182"/>
      <c r="AE672" s="182"/>
      <c r="AF672" s="182"/>
      <c r="AG672" s="182"/>
      <c r="AH672" s="182"/>
      <c r="AI672" s="182"/>
      <c r="AJ672" s="182"/>
      <c r="AK672" s="182"/>
      <c r="AL672" s="182"/>
      <c r="AM672" s="182"/>
      <c r="AN672" s="182"/>
      <c r="AO672" s="182"/>
      <c r="AP672" s="182"/>
      <c r="AQ672" s="182"/>
      <c r="AR672" s="182"/>
      <c r="AS672" s="182"/>
      <c r="AT672" s="182"/>
      <c r="AU672" s="182"/>
      <c r="AV672" s="182"/>
      <c r="AW672" s="182"/>
      <c r="AX672" s="182"/>
      <c r="AY672" s="182"/>
      <c r="AZ672" s="182"/>
      <c r="BA672" s="182"/>
      <c r="BB672" s="182"/>
      <c r="BC672" s="182"/>
      <c r="BD672" s="182"/>
      <c r="BE672" s="182"/>
    </row>
    <row r="673" spans="3:57">
      <c r="C673" s="664">
        <v>18</v>
      </c>
      <c r="D673" s="283"/>
      <c r="E673" s="283"/>
      <c r="F673" s="283" t="e">
        <f t="shared" si="248"/>
        <v>#DIV/0!</v>
      </c>
      <c r="G673" s="283" t="e">
        <f t="shared" si="248"/>
        <v>#DIV/0!</v>
      </c>
      <c r="H673" s="283" t="e">
        <f t="shared" si="248"/>
        <v>#DIV/0!</v>
      </c>
      <c r="I673" s="283" t="e">
        <f t="shared" si="248"/>
        <v>#DIV/0!</v>
      </c>
      <c r="J673" s="283" t="e">
        <f t="shared" si="248"/>
        <v>#DIV/0!</v>
      </c>
      <c r="K673" s="283" t="e">
        <f t="shared" si="248"/>
        <v>#DIV/0!</v>
      </c>
      <c r="L673" s="283" t="e">
        <f t="shared" si="248"/>
        <v>#DIV/0!</v>
      </c>
      <c r="M673" s="283" t="e">
        <f t="shared" si="248"/>
        <v>#DIV/0!</v>
      </c>
      <c r="N673" s="283" t="e">
        <f t="shared" si="248"/>
        <v>#DIV/0!</v>
      </c>
      <c r="O673" s="283" t="e">
        <f t="shared" si="248"/>
        <v>#DIV/0!</v>
      </c>
      <c r="P673" s="283" t="e">
        <f t="shared" si="248"/>
        <v>#DIV/0!</v>
      </c>
      <c r="Q673" s="667" t="e">
        <f t="shared" si="248"/>
        <v>#DIV/0!</v>
      </c>
      <c r="R673" s="283"/>
      <c r="S673" s="283"/>
      <c r="T673" s="182"/>
      <c r="U673" s="182"/>
      <c r="V673" s="182"/>
      <c r="W673" s="182"/>
      <c r="X673" s="182"/>
      <c r="Y673" s="182"/>
      <c r="Z673" s="182"/>
      <c r="AA673" s="182"/>
      <c r="AB673" s="182"/>
      <c r="AC673" s="182"/>
      <c r="AD673" s="182"/>
      <c r="AE673" s="182"/>
      <c r="AF673" s="182"/>
      <c r="AG673" s="182"/>
      <c r="AH673" s="182"/>
      <c r="AI673" s="182"/>
      <c r="AJ673" s="182"/>
      <c r="AK673" s="182"/>
      <c r="AL673" s="182"/>
      <c r="AM673" s="182"/>
      <c r="AN673" s="182"/>
      <c r="AO673" s="182"/>
      <c r="AP673" s="182"/>
      <c r="AQ673" s="182"/>
      <c r="AR673" s="182"/>
      <c r="AS673" s="182"/>
      <c r="AT673" s="182"/>
      <c r="AU673" s="182"/>
      <c r="AV673" s="182"/>
      <c r="AW673" s="182"/>
      <c r="AX673" s="182"/>
      <c r="AY673" s="182"/>
      <c r="AZ673" s="182"/>
      <c r="BA673" s="182"/>
      <c r="BB673" s="182"/>
      <c r="BC673" s="182"/>
      <c r="BD673" s="182"/>
      <c r="BE673" s="182"/>
    </row>
    <row r="674" spans="3:57">
      <c r="C674" s="664">
        <v>19</v>
      </c>
      <c r="D674" s="283"/>
      <c r="E674" s="283"/>
      <c r="F674" s="283" t="e">
        <f t="shared" si="248"/>
        <v>#DIV/0!</v>
      </c>
      <c r="G674" s="283" t="e">
        <f t="shared" si="248"/>
        <v>#DIV/0!</v>
      </c>
      <c r="H674" s="283" t="e">
        <f t="shared" si="248"/>
        <v>#DIV/0!</v>
      </c>
      <c r="I674" s="283" t="e">
        <f t="shared" si="248"/>
        <v>#DIV/0!</v>
      </c>
      <c r="J674" s="283" t="e">
        <f t="shared" si="248"/>
        <v>#DIV/0!</v>
      </c>
      <c r="K674" s="283" t="e">
        <f t="shared" si="248"/>
        <v>#DIV/0!</v>
      </c>
      <c r="L674" s="283" t="e">
        <f t="shared" si="248"/>
        <v>#DIV/0!</v>
      </c>
      <c r="M674" s="283" t="e">
        <f t="shared" si="248"/>
        <v>#DIV/0!</v>
      </c>
      <c r="N674" s="283" t="e">
        <f t="shared" si="248"/>
        <v>#DIV/0!</v>
      </c>
      <c r="O674" s="283" t="e">
        <f t="shared" si="248"/>
        <v>#DIV/0!</v>
      </c>
      <c r="P674" s="283" t="e">
        <f t="shared" si="248"/>
        <v>#DIV/0!</v>
      </c>
      <c r="Q674" s="667" t="e">
        <f t="shared" si="248"/>
        <v>#DIV/0!</v>
      </c>
      <c r="R674" s="283"/>
      <c r="S674" s="283"/>
      <c r="T674" s="182"/>
      <c r="U674" s="182"/>
      <c r="V674" s="182"/>
      <c r="W674" s="182"/>
      <c r="X674" s="182"/>
      <c r="Y674" s="182"/>
      <c r="Z674" s="182"/>
      <c r="AA674" s="182"/>
      <c r="AB674" s="182"/>
      <c r="AC674" s="182"/>
      <c r="AD674" s="182"/>
      <c r="AE674" s="182"/>
      <c r="AF674" s="182"/>
      <c r="AG674" s="182"/>
      <c r="AH674" s="182"/>
      <c r="AI674" s="182"/>
      <c r="AJ674" s="182"/>
      <c r="AK674" s="182"/>
      <c r="AL674" s="182"/>
      <c r="AM674" s="182"/>
      <c r="AN674" s="182"/>
      <c r="AO674" s="182"/>
      <c r="AP674" s="182"/>
      <c r="AQ674" s="182"/>
      <c r="AR674" s="182"/>
      <c r="AS674" s="182"/>
      <c r="AT674" s="182"/>
      <c r="AU674" s="182"/>
      <c r="AV674" s="182"/>
      <c r="AW674" s="182"/>
      <c r="AX674" s="182"/>
      <c r="AY674" s="182"/>
      <c r="AZ674" s="182"/>
      <c r="BA674" s="182"/>
      <c r="BB674" s="182"/>
      <c r="BC674" s="182"/>
      <c r="BD674" s="182"/>
      <c r="BE674" s="182"/>
    </row>
    <row r="675" spans="3:57">
      <c r="C675" s="664">
        <v>20</v>
      </c>
      <c r="D675" s="283"/>
      <c r="E675" s="283"/>
      <c r="F675" s="283" t="e">
        <f t="shared" si="248"/>
        <v>#DIV/0!</v>
      </c>
      <c r="G675" s="283" t="e">
        <f t="shared" si="248"/>
        <v>#DIV/0!</v>
      </c>
      <c r="H675" s="283" t="e">
        <f t="shared" si="248"/>
        <v>#DIV/0!</v>
      </c>
      <c r="I675" s="283" t="e">
        <f t="shared" si="248"/>
        <v>#DIV/0!</v>
      </c>
      <c r="J675" s="283" t="e">
        <f t="shared" si="248"/>
        <v>#DIV/0!</v>
      </c>
      <c r="K675" s="283" t="e">
        <f t="shared" si="248"/>
        <v>#DIV/0!</v>
      </c>
      <c r="L675" s="283" t="e">
        <f t="shared" si="248"/>
        <v>#DIV/0!</v>
      </c>
      <c r="M675" s="283" t="e">
        <f t="shared" si="248"/>
        <v>#DIV/0!</v>
      </c>
      <c r="N675" s="283" t="e">
        <f t="shared" si="248"/>
        <v>#DIV/0!</v>
      </c>
      <c r="O675" s="283" t="e">
        <f t="shared" si="248"/>
        <v>#DIV/0!</v>
      </c>
      <c r="P675" s="283" t="e">
        <f t="shared" si="248"/>
        <v>#DIV/0!</v>
      </c>
      <c r="Q675" s="667" t="e">
        <f t="shared" si="248"/>
        <v>#DIV/0!</v>
      </c>
      <c r="R675" s="283"/>
      <c r="S675" s="283"/>
      <c r="T675" s="182"/>
      <c r="U675" s="182"/>
      <c r="V675" s="182"/>
      <c r="W675" s="182"/>
      <c r="X675" s="182"/>
      <c r="Y675" s="182"/>
      <c r="Z675" s="182"/>
      <c r="AA675" s="182"/>
      <c r="AB675" s="182"/>
      <c r="AC675" s="182"/>
      <c r="AD675" s="182"/>
      <c r="AE675" s="182"/>
      <c r="AF675" s="182"/>
      <c r="AG675" s="182"/>
      <c r="AH675" s="182"/>
      <c r="AI675" s="182"/>
      <c r="AJ675" s="182"/>
      <c r="AK675" s="182"/>
      <c r="AL675" s="182"/>
      <c r="AM675" s="182"/>
      <c r="AN675" s="182"/>
      <c r="AO675" s="182"/>
      <c r="AP675" s="182"/>
      <c r="AQ675" s="182"/>
      <c r="AR675" s="182"/>
      <c r="AS675" s="182"/>
      <c r="AT675" s="182"/>
      <c r="AU675" s="182"/>
      <c r="AV675" s="182"/>
      <c r="AW675" s="182"/>
      <c r="AX675" s="182"/>
      <c r="AY675" s="182"/>
      <c r="AZ675" s="182"/>
      <c r="BA675" s="182"/>
      <c r="BB675" s="182"/>
      <c r="BC675" s="182"/>
      <c r="BD675" s="182"/>
      <c r="BE675" s="182"/>
    </row>
    <row r="676" spans="3:57">
      <c r="C676" s="664"/>
      <c r="D676" s="182"/>
      <c r="E676" s="182"/>
      <c r="F676" s="182"/>
      <c r="G676" s="182"/>
      <c r="H676" s="182"/>
      <c r="I676" s="182"/>
      <c r="J676" s="182"/>
      <c r="K676" s="182"/>
      <c r="L676" s="182"/>
      <c r="M676" s="182"/>
      <c r="N676" s="182"/>
      <c r="O676" s="182"/>
      <c r="P676" s="182"/>
      <c r="Q676" s="678"/>
      <c r="R676" s="283"/>
      <c r="S676" s="283"/>
      <c r="T676" s="182"/>
      <c r="U676" s="182"/>
      <c r="V676" s="182"/>
      <c r="W676" s="182"/>
      <c r="X676" s="182"/>
      <c r="Y676" s="182"/>
      <c r="Z676" s="182"/>
      <c r="AA676" s="182"/>
      <c r="AB676" s="182"/>
      <c r="AC676" s="182"/>
      <c r="AD676" s="182"/>
      <c r="AE676" s="182"/>
      <c r="AF676" s="182"/>
      <c r="AG676" s="182"/>
      <c r="AH676" s="182"/>
      <c r="AI676" s="182"/>
      <c r="AJ676" s="182"/>
      <c r="AK676" s="182"/>
      <c r="AL676" s="182"/>
      <c r="AM676" s="182"/>
      <c r="AN676" s="182"/>
      <c r="AO676" s="182"/>
      <c r="AP676" s="182"/>
      <c r="AQ676" s="182"/>
      <c r="AR676" s="182"/>
      <c r="AS676" s="182"/>
      <c r="AT676" s="182"/>
      <c r="AU676" s="182"/>
      <c r="AV676" s="182"/>
      <c r="AW676" s="182"/>
      <c r="AX676" s="182"/>
      <c r="AY676" s="182"/>
      <c r="AZ676" s="182"/>
      <c r="BA676" s="182"/>
      <c r="BB676" s="182"/>
      <c r="BC676" s="182"/>
      <c r="BD676" s="182"/>
      <c r="BE676" s="182"/>
    </row>
    <row r="677" spans="3:57" ht="16">
      <c r="C677" s="664" t="s">
        <v>173</v>
      </c>
      <c r="D677" s="283"/>
      <c r="E677" s="283"/>
      <c r="F677" s="283">
        <f>E656+D657</f>
        <v>0</v>
      </c>
      <c r="G677" s="283" t="e">
        <f>F656+E657+D658</f>
        <v>#DIV/0!</v>
      </c>
      <c r="H677" s="283" t="e">
        <f>G656+F657+E658+D659</f>
        <v>#DIV/0!</v>
      </c>
      <c r="I677" s="283" t="e">
        <f>H656+G657+F658+E659+D660</f>
        <v>#DIV/0!</v>
      </c>
      <c r="J677" s="283" t="e">
        <f>I656+H657+G658+F659+E660+D661</f>
        <v>#DIV/0!</v>
      </c>
      <c r="K677" s="283" t="e">
        <f>J656+I657+H658+G659+F660+E661+D662</f>
        <v>#DIV/0!</v>
      </c>
      <c r="L677" s="283" t="e">
        <f>K656+J657+I658+H659+G660+F661+E662+D663</f>
        <v>#DIV/0!</v>
      </c>
      <c r="M677" s="283" t="e">
        <f>L656+K657+J658+I659+H660+G661+F662+E663+D664</f>
        <v>#DIV/0!</v>
      </c>
      <c r="N677" s="283" t="e">
        <f>M656+L657+K658+J659+I660+H661+G662+F663+E664+D665</f>
        <v>#DIV/0!</v>
      </c>
      <c r="O677" s="283" t="e">
        <f>N656+M657+L658+K659+J660+I661+H662+G663+F664+E665+D666</f>
        <v>#DIV/0!</v>
      </c>
      <c r="P677" s="283" t="e">
        <f>O656+N657+M658+L659+K660+J661+I662+H663+G664+F665+E666</f>
        <v>#DIV/0!</v>
      </c>
      <c r="Q677" s="667" t="e">
        <f>P656+O657+N658+M659+L660+K661+J662+I663+H664+G665+F666</f>
        <v>#DIV/0!</v>
      </c>
      <c r="R677" s="283"/>
      <c r="S677" s="283"/>
      <c r="T677" s="182"/>
      <c r="U677" s="182"/>
      <c r="V677" s="182"/>
      <c r="W677" s="182"/>
      <c r="X677" s="182"/>
      <c r="Y677" s="182"/>
      <c r="Z677" s="182"/>
      <c r="AA677" s="182"/>
      <c r="AB677" s="182"/>
      <c r="AC677" s="182"/>
      <c r="AD677" s="182"/>
      <c r="AE677" s="182"/>
      <c r="AF677" s="182"/>
      <c r="AG677" s="182"/>
      <c r="AH677" s="182"/>
      <c r="AI677" s="182"/>
      <c r="AJ677" s="182"/>
      <c r="AK677" s="182"/>
      <c r="AL677" s="182"/>
      <c r="AM677" s="182"/>
      <c r="AN677" s="182"/>
      <c r="AO677" s="182"/>
      <c r="AP677" s="182"/>
      <c r="AQ677" s="182"/>
      <c r="AR677" s="182"/>
      <c r="AS677" s="182"/>
      <c r="AT677" s="182"/>
      <c r="AU677" s="182"/>
      <c r="AV677" s="182"/>
      <c r="AW677" s="182"/>
      <c r="AX677" s="182"/>
      <c r="AY677" s="182"/>
      <c r="AZ677" s="182"/>
      <c r="BA677" s="182"/>
      <c r="BB677" s="182"/>
      <c r="BC677" s="182"/>
      <c r="BD677" s="182"/>
      <c r="BE677" s="182"/>
    </row>
    <row r="678" spans="3:57">
      <c r="C678" s="664"/>
      <c r="D678" s="283"/>
      <c r="E678" s="283"/>
      <c r="F678" s="283"/>
      <c r="G678" s="283"/>
      <c r="H678" s="283"/>
      <c r="I678" s="283"/>
      <c r="J678" s="283"/>
      <c r="K678" s="283"/>
      <c r="L678" s="283"/>
      <c r="M678" s="283"/>
      <c r="N678" s="283"/>
      <c r="O678" s="283"/>
      <c r="P678" s="283"/>
      <c r="Q678" s="667"/>
      <c r="R678" s="283"/>
      <c r="S678" s="283"/>
      <c r="T678" s="182"/>
      <c r="U678" s="182"/>
      <c r="V678" s="182"/>
      <c r="W678" s="182"/>
      <c r="X678" s="182"/>
      <c r="Y678" s="182"/>
      <c r="Z678" s="182"/>
      <c r="AA678" s="182"/>
      <c r="AB678" s="182"/>
      <c r="AC678" s="182"/>
      <c r="AD678" s="182"/>
      <c r="AE678" s="182"/>
      <c r="AF678" s="182"/>
      <c r="AG678" s="182"/>
      <c r="AH678" s="182"/>
      <c r="AI678" s="182"/>
      <c r="AJ678" s="182"/>
      <c r="AK678" s="182"/>
      <c r="AL678" s="182"/>
      <c r="AM678" s="182"/>
      <c r="AN678" s="182"/>
      <c r="AO678" s="182"/>
      <c r="AP678" s="182"/>
      <c r="AQ678" s="182"/>
      <c r="AR678" s="182"/>
      <c r="AS678" s="182"/>
      <c r="AT678" s="182"/>
      <c r="AU678" s="182"/>
      <c r="AV678" s="182"/>
      <c r="AW678" s="182"/>
      <c r="AX678" s="182"/>
      <c r="AY678" s="182"/>
      <c r="AZ678" s="182"/>
      <c r="BA678" s="182"/>
      <c r="BB678" s="182"/>
      <c r="BC678" s="182"/>
      <c r="BD678" s="182"/>
      <c r="BE678" s="182"/>
    </row>
    <row r="679" spans="3:57">
      <c r="C679" s="664"/>
      <c r="D679" s="283"/>
      <c r="E679" s="283"/>
      <c r="F679" s="283"/>
      <c r="G679" s="283"/>
      <c r="H679" s="283"/>
      <c r="I679" s="283"/>
      <c r="J679" s="283"/>
      <c r="K679" s="283"/>
      <c r="L679" s="283"/>
      <c r="M679" s="283"/>
      <c r="N679" s="283"/>
      <c r="O679" s="283"/>
      <c r="P679" s="283"/>
      <c r="Q679" s="667"/>
      <c r="R679" s="283"/>
      <c r="S679" s="283"/>
      <c r="T679" s="182"/>
      <c r="U679" s="182"/>
      <c r="V679" s="182"/>
      <c r="W679" s="182"/>
      <c r="X679" s="182"/>
      <c r="Y679" s="182"/>
      <c r="Z679" s="182"/>
      <c r="AA679" s="182"/>
      <c r="AB679" s="182"/>
      <c r="AC679" s="182"/>
      <c r="AD679" s="182"/>
      <c r="AE679" s="182"/>
      <c r="AF679" s="182"/>
      <c r="AG679" s="182"/>
      <c r="AH679" s="182"/>
      <c r="AI679" s="182"/>
      <c r="AJ679" s="182"/>
      <c r="AK679" s="182"/>
      <c r="AL679" s="182"/>
      <c r="AM679" s="182"/>
      <c r="AN679" s="182"/>
      <c r="AO679" s="182"/>
      <c r="AP679" s="182"/>
      <c r="AQ679" s="182"/>
      <c r="AR679" s="182"/>
      <c r="AS679" s="182"/>
      <c r="AT679" s="182"/>
      <c r="AU679" s="182"/>
      <c r="AV679" s="182"/>
      <c r="AW679" s="182"/>
      <c r="AX679" s="182"/>
      <c r="AY679" s="182"/>
      <c r="AZ679" s="182"/>
      <c r="BA679" s="182"/>
      <c r="BB679" s="182"/>
      <c r="BC679" s="182"/>
      <c r="BD679" s="182"/>
      <c r="BE679" s="182"/>
    </row>
    <row r="680" spans="3:57">
      <c r="C680" s="664"/>
      <c r="D680" s="283"/>
      <c r="E680" s="291"/>
      <c r="F680" s="291"/>
      <c r="G680" s="291"/>
      <c r="H680" s="291"/>
      <c r="I680" s="291"/>
      <c r="J680" s="291"/>
      <c r="K680" s="291"/>
      <c r="L680" s="291"/>
      <c r="M680" s="291"/>
      <c r="N680" s="291"/>
      <c r="O680" s="291"/>
      <c r="P680" s="291"/>
      <c r="Q680" s="666"/>
      <c r="R680" s="182"/>
      <c r="S680" s="182"/>
      <c r="T680" s="182"/>
      <c r="U680" s="182"/>
      <c r="V680" s="182"/>
      <c r="W680" s="182"/>
      <c r="X680" s="182"/>
      <c r="Y680" s="182"/>
      <c r="Z680" s="182"/>
      <c r="AA680" s="182"/>
      <c r="AB680" s="182"/>
      <c r="AC680" s="182"/>
      <c r="AD680" s="182"/>
      <c r="AE680" s="182"/>
      <c r="AF680" s="182"/>
      <c r="AG680" s="182"/>
      <c r="AH680" s="182"/>
      <c r="AI680" s="182"/>
      <c r="AJ680" s="182"/>
      <c r="AK680" s="182"/>
      <c r="AL680" s="182"/>
      <c r="AM680" s="182"/>
      <c r="AN680" s="182"/>
      <c r="AO680" s="182"/>
      <c r="AP680" s="182"/>
      <c r="AQ680" s="182"/>
      <c r="AR680" s="182"/>
      <c r="AS680" s="182"/>
      <c r="AT680" s="182"/>
      <c r="AU680" s="182"/>
      <c r="AV680" s="182"/>
      <c r="AW680" s="182"/>
      <c r="AX680" s="182"/>
      <c r="AY680" s="182"/>
      <c r="AZ680" s="182"/>
      <c r="BA680" s="182"/>
      <c r="BB680" s="182"/>
      <c r="BC680" s="182"/>
      <c r="BD680" s="182"/>
      <c r="BE680" s="182"/>
    </row>
    <row r="681" spans="3:57">
      <c r="C681" s="713">
        <v>30</v>
      </c>
      <c r="D681" s="597"/>
      <c r="E681" s="597">
        <v>2023</v>
      </c>
      <c r="F681" s="597">
        <v>2024</v>
      </c>
      <c r="G681" s="597">
        <v>2025</v>
      </c>
      <c r="H681" s="597">
        <v>2026</v>
      </c>
      <c r="I681" s="597">
        <v>2027</v>
      </c>
      <c r="J681" s="597">
        <v>2028</v>
      </c>
      <c r="K681" s="597">
        <v>2029</v>
      </c>
      <c r="L681" s="597">
        <v>2030</v>
      </c>
      <c r="M681" s="597">
        <v>2031</v>
      </c>
      <c r="N681" s="597">
        <v>2032</v>
      </c>
      <c r="O681" s="597">
        <v>2033</v>
      </c>
      <c r="P681" s="597">
        <v>2034</v>
      </c>
      <c r="Q681" s="714">
        <v>2035</v>
      </c>
      <c r="R681" s="182"/>
      <c r="S681" s="182"/>
      <c r="T681" s="182"/>
      <c r="U681" s="182"/>
      <c r="V681" s="182"/>
      <c r="W681" s="182"/>
      <c r="X681" s="182"/>
      <c r="Y681" s="182"/>
      <c r="Z681" s="182"/>
      <c r="AA681" s="182"/>
      <c r="AB681" s="182"/>
      <c r="AC681" s="182"/>
      <c r="AD681" s="182"/>
      <c r="AE681" s="182"/>
      <c r="AF681" s="182"/>
      <c r="AG681" s="182"/>
      <c r="AH681" s="182"/>
      <c r="AI681" s="182"/>
      <c r="AJ681" s="182"/>
      <c r="AK681" s="182"/>
      <c r="AL681" s="182"/>
      <c r="AM681" s="182"/>
      <c r="AN681" s="182"/>
      <c r="AO681" s="182"/>
      <c r="AP681" s="182"/>
      <c r="AQ681" s="182"/>
      <c r="AR681" s="182"/>
      <c r="AS681" s="182"/>
      <c r="AT681" s="182"/>
      <c r="AU681" s="182"/>
      <c r="AV681" s="182"/>
      <c r="AW681" s="182"/>
      <c r="AX681" s="182"/>
      <c r="AY681" s="182"/>
      <c r="AZ681" s="182"/>
      <c r="BA681" s="182"/>
      <c r="BB681" s="182"/>
      <c r="BC681" s="182"/>
      <c r="BD681" s="182"/>
      <c r="BE681" s="182"/>
    </row>
    <row r="682" spans="3:57" ht="16">
      <c r="C682" s="664" t="s">
        <v>177</v>
      </c>
      <c r="D682" s="325"/>
      <c r="E682" s="325"/>
      <c r="F682" s="325">
        <f>'Deuda a emitir'!F84</f>
        <v>0</v>
      </c>
      <c r="G682" s="325">
        <f>'Deuda a emitir'!G84</f>
        <v>0</v>
      </c>
      <c r="H682" s="325">
        <f>'Deuda a emitir'!H84</f>
        <v>0</v>
      </c>
      <c r="I682" s="325">
        <f>'Deuda a emitir'!I84</f>
        <v>0</v>
      </c>
      <c r="J682" s="325">
        <f>'Deuda a emitir'!J84</f>
        <v>0</v>
      </c>
      <c r="K682" s="325">
        <f>'Deuda a emitir'!K84</f>
        <v>0</v>
      </c>
      <c r="L682" s="325">
        <f>'Deuda a emitir'!L84</f>
        <v>0</v>
      </c>
      <c r="M682" s="325">
        <f>'Deuda a emitir'!M84</f>
        <v>0</v>
      </c>
      <c r="N682" s="325">
        <f>'Deuda a emitir'!N84</f>
        <v>0</v>
      </c>
      <c r="O682" s="325">
        <f>'Deuda a emitir'!O84</f>
        <v>0</v>
      </c>
      <c r="P682" s="325">
        <f>'Deuda a emitir'!P84</f>
        <v>0</v>
      </c>
      <c r="Q682" s="703">
        <f>'Deuda a emitir'!Q84</f>
        <v>0</v>
      </c>
      <c r="R682" s="182"/>
      <c r="S682" s="182"/>
      <c r="T682" s="182"/>
      <c r="U682" s="182"/>
      <c r="V682" s="182"/>
      <c r="W682" s="182"/>
      <c r="X682" s="182"/>
      <c r="Y682" s="182"/>
      <c r="Z682" s="182"/>
      <c r="AA682" s="182"/>
      <c r="AB682" s="182"/>
      <c r="AC682" s="182"/>
      <c r="AD682" s="182"/>
      <c r="AE682" s="182"/>
      <c r="AF682" s="182"/>
      <c r="AG682" s="182"/>
      <c r="AH682" s="182"/>
      <c r="AI682" s="182"/>
      <c r="AJ682" s="182"/>
      <c r="AK682" s="182"/>
      <c r="AL682" s="182"/>
      <c r="AM682" s="182"/>
      <c r="AN682" s="182"/>
      <c r="AO682" s="182"/>
      <c r="AP682" s="182"/>
      <c r="AQ682" s="182"/>
      <c r="AR682" s="182"/>
      <c r="AS682" s="182"/>
      <c r="AT682" s="182"/>
      <c r="AU682" s="182"/>
      <c r="AV682" s="182"/>
      <c r="AW682" s="182"/>
      <c r="AX682" s="182"/>
      <c r="AY682" s="182"/>
      <c r="AZ682" s="182"/>
      <c r="BA682" s="182"/>
      <c r="BB682" s="182"/>
      <c r="BC682" s="182"/>
      <c r="BD682" s="182"/>
      <c r="BE682" s="182"/>
    </row>
    <row r="683" spans="3:57" ht="16">
      <c r="C683" s="664" t="s">
        <v>179</v>
      </c>
      <c r="D683" s="328"/>
      <c r="E683" s="328"/>
      <c r="F683" s="328">
        <f>'Deuda a emitir'!F85</f>
        <v>30</v>
      </c>
      <c r="G683" s="328">
        <f>'Deuda a emitir'!G85</f>
        <v>30</v>
      </c>
      <c r="H683" s="328">
        <f>'Deuda a emitir'!H85</f>
        <v>30</v>
      </c>
      <c r="I683" s="328">
        <f>'Deuda a emitir'!I85</f>
        <v>30</v>
      </c>
      <c r="J683" s="328">
        <f>'Deuda a emitir'!J85</f>
        <v>30</v>
      </c>
      <c r="K683" s="328">
        <f>'Deuda a emitir'!K85</f>
        <v>30</v>
      </c>
      <c r="L683" s="328">
        <f>'Deuda a emitir'!L85</f>
        <v>30</v>
      </c>
      <c r="M683" s="328">
        <f>'Deuda a emitir'!M85</f>
        <v>30</v>
      </c>
      <c r="N683" s="328">
        <f>'Deuda a emitir'!N85</f>
        <v>30</v>
      </c>
      <c r="O683" s="328">
        <f>'Deuda a emitir'!O85</f>
        <v>30</v>
      </c>
      <c r="P683" s="328">
        <f>'Deuda a emitir'!P85</f>
        <v>30</v>
      </c>
      <c r="Q683" s="681">
        <f>'Deuda a emitir'!Q85</f>
        <v>30</v>
      </c>
      <c r="R683" s="182"/>
      <c r="S683" s="182"/>
      <c r="T683" s="182"/>
      <c r="U683" s="182"/>
      <c r="V683" s="182"/>
      <c r="W683" s="182"/>
      <c r="X683" s="182"/>
      <c r="Y683" s="182"/>
      <c r="Z683" s="182"/>
      <c r="AA683" s="182"/>
      <c r="AB683" s="182"/>
      <c r="AC683" s="182"/>
      <c r="AD683" s="182"/>
      <c r="AE683" s="182"/>
      <c r="AF683" s="182"/>
      <c r="AG683" s="182"/>
      <c r="AH683" s="182"/>
      <c r="AI683" s="182"/>
      <c r="AJ683" s="182"/>
      <c r="AK683" s="182"/>
      <c r="AL683" s="182"/>
      <c r="AM683" s="182"/>
      <c r="AN683" s="182"/>
      <c r="AO683" s="182"/>
      <c r="AP683" s="182"/>
      <c r="AQ683" s="182"/>
      <c r="AR683" s="182"/>
      <c r="AS683" s="182"/>
      <c r="AT683" s="182"/>
      <c r="AU683" s="182"/>
      <c r="AV683" s="182"/>
      <c r="AW683" s="182"/>
      <c r="AX683" s="182"/>
      <c r="AY683" s="182"/>
      <c r="AZ683" s="182"/>
      <c r="BA683" s="182"/>
      <c r="BB683" s="182"/>
      <c r="BC683" s="182"/>
      <c r="BD683" s="182"/>
      <c r="BE683" s="182"/>
    </row>
    <row r="684" spans="3:57" ht="16">
      <c r="C684" s="664" t="s">
        <v>72</v>
      </c>
      <c r="D684" s="328"/>
      <c r="E684" s="328"/>
      <c r="F684" s="328">
        <f t="shared" ref="F684:Q684" si="249">F681+F683</f>
        <v>2054</v>
      </c>
      <c r="G684" s="328">
        <f t="shared" si="249"/>
        <v>2055</v>
      </c>
      <c r="H684" s="328">
        <f t="shared" si="249"/>
        <v>2056</v>
      </c>
      <c r="I684" s="328">
        <f t="shared" si="249"/>
        <v>2057</v>
      </c>
      <c r="J684" s="328">
        <f t="shared" si="249"/>
        <v>2058</v>
      </c>
      <c r="K684" s="328">
        <f t="shared" si="249"/>
        <v>2059</v>
      </c>
      <c r="L684" s="328">
        <f t="shared" si="249"/>
        <v>2060</v>
      </c>
      <c r="M684" s="328">
        <f t="shared" si="249"/>
        <v>2061</v>
      </c>
      <c r="N684" s="328">
        <f t="shared" si="249"/>
        <v>2062</v>
      </c>
      <c r="O684" s="328">
        <f t="shared" si="249"/>
        <v>2063</v>
      </c>
      <c r="P684" s="328">
        <f t="shared" si="249"/>
        <v>2064</v>
      </c>
      <c r="Q684" s="681">
        <f t="shared" si="249"/>
        <v>2065</v>
      </c>
      <c r="R684" s="182"/>
      <c r="S684" s="182"/>
      <c r="T684" s="182"/>
      <c r="U684" s="182"/>
      <c r="V684" s="182"/>
      <c r="W684" s="182"/>
      <c r="X684" s="182"/>
      <c r="Y684" s="182"/>
      <c r="Z684" s="182"/>
      <c r="AA684" s="182"/>
      <c r="AB684" s="182"/>
      <c r="AC684" s="182"/>
      <c r="AD684" s="182"/>
      <c r="AE684" s="182"/>
      <c r="AF684" s="182"/>
      <c r="AG684" s="182"/>
      <c r="AH684" s="182"/>
      <c r="AI684" s="182"/>
      <c r="AJ684" s="182"/>
      <c r="AK684" s="182"/>
      <c r="AL684" s="182"/>
      <c r="AM684" s="182"/>
      <c r="AN684" s="182"/>
      <c r="AO684" s="182"/>
      <c r="AP684" s="182"/>
      <c r="AQ684" s="182"/>
      <c r="AR684" s="182"/>
      <c r="AS684" s="182"/>
      <c r="AT684" s="182"/>
      <c r="AU684" s="182"/>
      <c r="AV684" s="182"/>
      <c r="AW684" s="182"/>
      <c r="AX684" s="182"/>
      <c r="AY684" s="182"/>
      <c r="AZ684" s="182"/>
      <c r="BA684" s="182"/>
      <c r="BB684" s="182"/>
      <c r="BC684" s="182"/>
      <c r="BD684" s="182"/>
      <c r="BE684" s="182"/>
    </row>
    <row r="685" spans="3:57" ht="16">
      <c r="C685" s="664" t="s">
        <v>180</v>
      </c>
      <c r="D685" s="291"/>
      <c r="E685" s="291"/>
      <c r="F685" s="291">
        <f>'Deuda a emitir'!F73</f>
        <v>0</v>
      </c>
      <c r="G685" s="291">
        <f>'Deuda a emitir'!G73</f>
        <v>0</v>
      </c>
      <c r="H685" s="291">
        <f>'Deuda a emitir'!H73</f>
        <v>0</v>
      </c>
      <c r="I685" s="291">
        <f>'Deuda a emitir'!I73</f>
        <v>0</v>
      </c>
      <c r="J685" s="291">
        <f>'Deuda a emitir'!J73</f>
        <v>0</v>
      </c>
      <c r="K685" s="291">
        <f>'Deuda a emitir'!K73</f>
        <v>0</v>
      </c>
      <c r="L685" s="291">
        <f>'Deuda a emitir'!L73</f>
        <v>0</v>
      </c>
      <c r="M685" s="291">
        <f>'Deuda a emitir'!M73</f>
        <v>0</v>
      </c>
      <c r="N685" s="291">
        <f>'Deuda a emitir'!N73</f>
        <v>0</v>
      </c>
      <c r="O685" s="291">
        <f>'Deuda a emitir'!O73</f>
        <v>0</v>
      </c>
      <c r="P685" s="291">
        <f>'Deuda a emitir'!P73</f>
        <v>0</v>
      </c>
      <c r="Q685" s="666">
        <f>'Deuda a emitir'!Q73</f>
        <v>0</v>
      </c>
      <c r="R685" s="182"/>
      <c r="S685" s="182"/>
      <c r="T685" s="182"/>
      <c r="U685" s="182"/>
      <c r="V685" s="182"/>
      <c r="W685" s="182"/>
      <c r="X685" s="182"/>
      <c r="Y685" s="182"/>
      <c r="Z685" s="182"/>
      <c r="AA685" s="182"/>
      <c r="AB685" s="182"/>
      <c r="AC685" s="182"/>
      <c r="AD685" s="182"/>
      <c r="AE685" s="182"/>
      <c r="AF685" s="182"/>
      <c r="AG685" s="182"/>
      <c r="AH685" s="182"/>
      <c r="AI685" s="182"/>
      <c r="AJ685" s="182"/>
      <c r="AK685" s="182"/>
      <c r="AL685" s="182"/>
      <c r="AM685" s="182"/>
      <c r="AN685" s="182"/>
      <c r="AO685" s="182"/>
      <c r="AP685" s="182"/>
      <c r="AQ685" s="182"/>
      <c r="AR685" s="182"/>
      <c r="AS685" s="182"/>
      <c r="AT685" s="182"/>
      <c r="AU685" s="182"/>
      <c r="AV685" s="182"/>
      <c r="AW685" s="182"/>
      <c r="AX685" s="182"/>
      <c r="AY685" s="182"/>
      <c r="AZ685" s="182"/>
      <c r="BA685" s="182"/>
      <c r="BB685" s="182"/>
      <c r="BC685" s="182"/>
      <c r="BD685" s="182"/>
      <c r="BE685" s="182"/>
    </row>
    <row r="686" spans="3:57" ht="32">
      <c r="C686" s="664" t="s">
        <v>204</v>
      </c>
      <c r="D686" s="283"/>
      <c r="E686" s="283"/>
      <c r="F686" s="283">
        <f t="shared" ref="F686:Q686" si="250">F$583*F685</f>
        <v>0</v>
      </c>
      <c r="G686" s="283" t="e">
        <f t="shared" si="250"/>
        <v>#DIV/0!</v>
      </c>
      <c r="H686" s="283" t="e">
        <f t="shared" si="250"/>
        <v>#DIV/0!</v>
      </c>
      <c r="I686" s="283" t="e">
        <f t="shared" si="250"/>
        <v>#DIV/0!</v>
      </c>
      <c r="J686" s="283" t="e">
        <f t="shared" si="250"/>
        <v>#DIV/0!</v>
      </c>
      <c r="K686" s="283" t="e">
        <f t="shared" si="250"/>
        <v>#DIV/0!</v>
      </c>
      <c r="L686" s="283" t="e">
        <f t="shared" si="250"/>
        <v>#DIV/0!</v>
      </c>
      <c r="M686" s="283" t="e">
        <f t="shared" si="250"/>
        <v>#DIV/0!</v>
      </c>
      <c r="N686" s="283" t="e">
        <f t="shared" si="250"/>
        <v>#DIV/0!</v>
      </c>
      <c r="O686" s="283" t="e">
        <f t="shared" si="250"/>
        <v>#DIV/0!</v>
      </c>
      <c r="P686" s="283" t="e">
        <f t="shared" si="250"/>
        <v>#DIV/0!</v>
      </c>
      <c r="Q686" s="667" t="e">
        <f t="shared" si="250"/>
        <v>#DIV/0!</v>
      </c>
      <c r="R686" s="182"/>
      <c r="S686" s="182"/>
      <c r="T686" s="182"/>
      <c r="U686" s="182"/>
      <c r="V686" s="182"/>
      <c r="W686" s="182"/>
      <c r="X686" s="182"/>
      <c r="Y686" s="182"/>
      <c r="Z686" s="182"/>
      <c r="AA686" s="182"/>
      <c r="AB686" s="182"/>
      <c r="AC686" s="182"/>
      <c r="AD686" s="182"/>
      <c r="AE686" s="182"/>
      <c r="AF686" s="182"/>
      <c r="AG686" s="182"/>
      <c r="AH686" s="182"/>
      <c r="AI686" s="182"/>
      <c r="AJ686" s="182"/>
      <c r="AK686" s="182"/>
      <c r="AL686" s="182"/>
      <c r="AM686" s="182"/>
      <c r="AN686" s="182"/>
      <c r="AO686" s="182"/>
      <c r="AP686" s="182"/>
      <c r="AQ686" s="182"/>
      <c r="AR686" s="182"/>
      <c r="AS686" s="182"/>
      <c r="AT686" s="182"/>
      <c r="AU686" s="182"/>
      <c r="AV686" s="182"/>
      <c r="AW686" s="182"/>
      <c r="AX686" s="182"/>
      <c r="AY686" s="182"/>
      <c r="AZ686" s="182"/>
      <c r="BA686" s="182"/>
      <c r="BB686" s="182"/>
      <c r="BC686" s="182"/>
      <c r="BD686" s="182"/>
      <c r="BE686" s="182"/>
    </row>
    <row r="687" spans="3:57" ht="32">
      <c r="C687" s="664" t="s">
        <v>171</v>
      </c>
      <c r="D687" s="283"/>
      <c r="E687" s="283"/>
      <c r="F687" s="283">
        <f t="shared" ref="F687:Q687" si="251">F$584*F685</f>
        <v>0</v>
      </c>
      <c r="G687" s="283">
        <f t="shared" si="251"/>
        <v>0</v>
      </c>
      <c r="H687" s="283">
        <f t="shared" si="251"/>
        <v>0</v>
      </c>
      <c r="I687" s="283">
        <f t="shared" si="251"/>
        <v>0</v>
      </c>
      <c r="J687" s="283">
        <f t="shared" si="251"/>
        <v>0</v>
      </c>
      <c r="K687" s="283">
        <f t="shared" si="251"/>
        <v>0</v>
      </c>
      <c r="L687" s="283">
        <f t="shared" si="251"/>
        <v>0</v>
      </c>
      <c r="M687" s="283">
        <f t="shared" si="251"/>
        <v>0</v>
      </c>
      <c r="N687" s="283">
        <f t="shared" si="251"/>
        <v>0</v>
      </c>
      <c r="O687" s="283">
        <f t="shared" si="251"/>
        <v>0</v>
      </c>
      <c r="P687" s="283">
        <f t="shared" si="251"/>
        <v>0</v>
      </c>
      <c r="Q687" s="667">
        <f t="shared" si="251"/>
        <v>0</v>
      </c>
      <c r="R687" s="182"/>
      <c r="S687" s="182"/>
      <c r="T687" s="182"/>
      <c r="U687" s="182"/>
      <c r="V687" s="182"/>
      <c r="W687" s="182"/>
      <c r="X687" s="182"/>
      <c r="Y687" s="182"/>
      <c r="Z687" s="182"/>
      <c r="AA687" s="182"/>
      <c r="AB687" s="182"/>
      <c r="AC687" s="182"/>
      <c r="AD687" s="182"/>
      <c r="AE687" s="182"/>
      <c r="AF687" s="182"/>
      <c r="AG687" s="182"/>
      <c r="AH687" s="182"/>
      <c r="AI687" s="182"/>
      <c r="AJ687" s="182"/>
      <c r="AK687" s="182"/>
      <c r="AL687" s="182"/>
      <c r="AM687" s="182"/>
      <c r="AN687" s="182"/>
      <c r="AO687" s="182"/>
      <c r="AP687" s="182"/>
      <c r="AQ687" s="182"/>
      <c r="AR687" s="182"/>
      <c r="AS687" s="182"/>
      <c r="AT687" s="182"/>
      <c r="AU687" s="182"/>
      <c r="AV687" s="182"/>
      <c r="AW687" s="182"/>
      <c r="AX687" s="182"/>
      <c r="AY687" s="182"/>
      <c r="AZ687" s="182"/>
      <c r="BA687" s="182"/>
      <c r="BB687" s="182"/>
      <c r="BC687" s="182"/>
      <c r="BD687" s="182"/>
      <c r="BE687" s="182"/>
    </row>
    <row r="688" spans="3:57" ht="16">
      <c r="C688" s="668" t="s">
        <v>212</v>
      </c>
      <c r="D688" s="37"/>
      <c r="E688" s="37"/>
      <c r="F688" s="37">
        <f t="shared" ref="F688:P688" si="252">SUM(F686:F687)</f>
        <v>0</v>
      </c>
      <c r="G688" s="37" t="e">
        <f t="shared" si="252"/>
        <v>#DIV/0!</v>
      </c>
      <c r="H688" s="37" t="e">
        <f t="shared" si="252"/>
        <v>#DIV/0!</v>
      </c>
      <c r="I688" s="37" t="e">
        <f t="shared" si="252"/>
        <v>#DIV/0!</v>
      </c>
      <c r="J688" s="37" t="e">
        <f t="shared" si="252"/>
        <v>#DIV/0!</v>
      </c>
      <c r="K688" s="37" t="e">
        <f t="shared" si="252"/>
        <v>#DIV/0!</v>
      </c>
      <c r="L688" s="37" t="e">
        <f t="shared" si="252"/>
        <v>#DIV/0!</v>
      </c>
      <c r="M688" s="37" t="e">
        <f t="shared" si="252"/>
        <v>#DIV/0!</v>
      </c>
      <c r="N688" s="37" t="e">
        <f t="shared" si="252"/>
        <v>#DIV/0!</v>
      </c>
      <c r="O688" s="37" t="e">
        <f t="shared" si="252"/>
        <v>#DIV/0!</v>
      </c>
      <c r="P688" s="37" t="e">
        <f t="shared" si="252"/>
        <v>#DIV/0!</v>
      </c>
      <c r="Q688" s="669" t="e">
        <f t="shared" ref="Q688" si="253">SUM(Q686:Q687)</f>
        <v>#DIV/0!</v>
      </c>
      <c r="R688" s="182"/>
      <c r="S688" s="182"/>
      <c r="T688" s="182"/>
      <c r="U688" s="182"/>
      <c r="V688" s="182"/>
      <c r="W688" s="182"/>
      <c r="X688" s="182"/>
      <c r="Y688" s="182"/>
      <c r="Z688" s="182"/>
      <c r="AA688" s="182"/>
      <c r="AB688" s="182"/>
      <c r="AC688" s="182"/>
      <c r="AD688" s="182"/>
      <c r="AE688" s="182"/>
      <c r="AF688" s="182"/>
      <c r="AG688" s="182"/>
      <c r="AH688" s="182"/>
      <c r="AI688" s="182"/>
      <c r="AJ688" s="182"/>
      <c r="AK688" s="182"/>
      <c r="AL688" s="182"/>
      <c r="AM688" s="182"/>
      <c r="AN688" s="182"/>
      <c r="AO688" s="182"/>
      <c r="AP688" s="182"/>
      <c r="AQ688" s="182"/>
      <c r="AR688" s="182"/>
      <c r="AS688" s="182"/>
      <c r="AT688" s="182"/>
      <c r="AU688" s="182"/>
      <c r="AV688" s="182"/>
      <c r="AW688" s="182"/>
      <c r="AX688" s="182"/>
      <c r="AY688" s="182"/>
      <c r="AZ688" s="182"/>
      <c r="BA688" s="182"/>
      <c r="BB688" s="182"/>
      <c r="BC688" s="182"/>
      <c r="BD688" s="182"/>
      <c r="BE688" s="182"/>
    </row>
    <row r="689" spans="3:57" ht="16">
      <c r="C689" s="686" t="s">
        <v>213</v>
      </c>
      <c r="D689" s="283"/>
      <c r="E689" s="598"/>
      <c r="F689" s="598" t="e">
        <f t="shared" ref="F689:Q689" si="254">F688/F$582</f>
        <v>#DIV/0!</v>
      </c>
      <c r="G689" s="598" t="e">
        <f t="shared" si="254"/>
        <v>#DIV/0!</v>
      </c>
      <c r="H689" s="598" t="e">
        <f t="shared" si="254"/>
        <v>#DIV/0!</v>
      </c>
      <c r="I689" s="598" t="e">
        <f t="shared" si="254"/>
        <v>#DIV/0!</v>
      </c>
      <c r="J689" s="598" t="e">
        <f t="shared" si="254"/>
        <v>#DIV/0!</v>
      </c>
      <c r="K689" s="598" t="e">
        <f t="shared" si="254"/>
        <v>#DIV/0!</v>
      </c>
      <c r="L689" s="598" t="e">
        <f t="shared" si="254"/>
        <v>#DIV/0!</v>
      </c>
      <c r="M689" s="598" t="e">
        <f t="shared" si="254"/>
        <v>#DIV/0!</v>
      </c>
      <c r="N689" s="598" t="e">
        <f t="shared" si="254"/>
        <v>#DIV/0!</v>
      </c>
      <c r="O689" s="598" t="e">
        <f t="shared" si="254"/>
        <v>#DIV/0!</v>
      </c>
      <c r="P689" s="598" t="e">
        <f t="shared" si="254"/>
        <v>#DIV/0!</v>
      </c>
      <c r="Q689" s="711" t="e">
        <f t="shared" si="254"/>
        <v>#DIV/0!</v>
      </c>
      <c r="R689" s="182"/>
      <c r="S689" s="182"/>
      <c r="T689" s="182"/>
      <c r="U689" s="182"/>
      <c r="V689" s="182"/>
      <c r="W689" s="182"/>
      <c r="X689" s="182"/>
      <c r="Y689" s="182"/>
      <c r="Z689" s="182"/>
      <c r="AA689" s="182"/>
      <c r="AB689" s="182"/>
      <c r="AC689" s="182"/>
      <c r="AD689" s="182"/>
      <c r="AE689" s="182"/>
      <c r="AF689" s="182"/>
      <c r="AG689" s="182"/>
      <c r="AH689" s="182"/>
      <c r="AI689" s="182"/>
      <c r="AJ689" s="182"/>
      <c r="AK689" s="182"/>
      <c r="AL689" s="182"/>
      <c r="AM689" s="182"/>
      <c r="AN689" s="182"/>
      <c r="AO689" s="182"/>
      <c r="AP689" s="182"/>
      <c r="AQ689" s="182"/>
      <c r="AR689" s="182"/>
      <c r="AS689" s="182"/>
      <c r="AT689" s="182"/>
      <c r="AU689" s="182"/>
      <c r="AV689" s="182"/>
      <c r="AW689" s="182"/>
      <c r="AX689" s="182"/>
      <c r="AY689" s="182"/>
      <c r="AZ689" s="182"/>
      <c r="BA689" s="182"/>
      <c r="BB689" s="182"/>
      <c r="BC689" s="182"/>
      <c r="BD689" s="182"/>
      <c r="BE689" s="182"/>
    </row>
    <row r="690" spans="3:57" ht="16">
      <c r="C690" s="668" t="s">
        <v>214</v>
      </c>
      <c r="D690" s="37"/>
      <c r="E690" s="37"/>
      <c r="F690" s="37" t="e">
        <f t="shared" ref="F690:Q690" si="255">F689*HLOOKUP(F684,$D581:$BA582,2,FALSE)</f>
        <v>#DIV/0!</v>
      </c>
      <c r="G690" s="37" t="e">
        <f t="shared" si="255"/>
        <v>#DIV/0!</v>
      </c>
      <c r="H690" s="37" t="e">
        <f t="shared" si="255"/>
        <v>#DIV/0!</v>
      </c>
      <c r="I690" s="37" t="e">
        <f t="shared" si="255"/>
        <v>#DIV/0!</v>
      </c>
      <c r="J690" s="37" t="e">
        <f t="shared" si="255"/>
        <v>#DIV/0!</v>
      </c>
      <c r="K690" s="37" t="e">
        <f t="shared" si="255"/>
        <v>#DIV/0!</v>
      </c>
      <c r="L690" s="37" t="e">
        <f t="shared" si="255"/>
        <v>#DIV/0!</v>
      </c>
      <c r="M690" s="37" t="e">
        <f t="shared" si="255"/>
        <v>#DIV/0!</v>
      </c>
      <c r="N690" s="37" t="e">
        <f t="shared" si="255"/>
        <v>#DIV/0!</v>
      </c>
      <c r="O690" s="37" t="e">
        <f t="shared" si="255"/>
        <v>#DIV/0!</v>
      </c>
      <c r="P690" s="37" t="e">
        <f t="shared" si="255"/>
        <v>#DIV/0!</v>
      </c>
      <c r="Q690" s="669" t="e">
        <f t="shared" si="255"/>
        <v>#DIV/0!</v>
      </c>
      <c r="R690" s="182"/>
      <c r="S690" s="182"/>
      <c r="T690" s="182"/>
      <c r="U690" s="182"/>
      <c r="V690" s="182"/>
      <c r="W690" s="182"/>
      <c r="X690" s="182"/>
      <c r="Y690" s="182"/>
      <c r="Z690" s="182"/>
      <c r="AA690" s="182"/>
      <c r="AB690" s="182"/>
      <c r="AC690" s="182"/>
      <c r="AD690" s="182"/>
      <c r="AE690" s="182"/>
      <c r="AF690" s="182"/>
      <c r="AG690" s="182"/>
      <c r="AH690" s="182"/>
      <c r="AI690" s="182"/>
      <c r="AJ690" s="182"/>
      <c r="AK690" s="182"/>
      <c r="AL690" s="182"/>
      <c r="AM690" s="182"/>
      <c r="AN690" s="182"/>
      <c r="AO690" s="182"/>
      <c r="AP690" s="182"/>
      <c r="AQ690" s="182"/>
      <c r="AR690" s="182"/>
      <c r="AS690" s="182"/>
      <c r="AT690" s="182"/>
      <c r="AU690" s="182"/>
      <c r="AV690" s="182"/>
      <c r="AW690" s="182"/>
      <c r="AX690" s="182"/>
      <c r="AY690" s="182"/>
      <c r="AZ690" s="182"/>
      <c r="BA690" s="182"/>
      <c r="BB690" s="182"/>
      <c r="BC690" s="182"/>
      <c r="BD690" s="182"/>
      <c r="BE690" s="182"/>
    </row>
    <row r="691" spans="3:57">
      <c r="C691" s="664"/>
      <c r="D691" s="283"/>
      <c r="E691" s="283"/>
      <c r="F691" s="283"/>
      <c r="G691" s="283"/>
      <c r="H691" s="283"/>
      <c r="I691" s="283"/>
      <c r="J691" s="283"/>
      <c r="K691" s="283"/>
      <c r="L691" s="283"/>
      <c r="M691" s="283"/>
      <c r="N691" s="283"/>
      <c r="O691" s="283"/>
      <c r="P691" s="283"/>
      <c r="Q691" s="667"/>
      <c r="R691" s="182"/>
      <c r="S691" s="182"/>
      <c r="T691" s="182"/>
      <c r="U691" s="182"/>
      <c r="V691" s="182"/>
      <c r="W691" s="182"/>
      <c r="X691" s="182"/>
      <c r="Y691" s="182"/>
      <c r="Z691" s="182"/>
      <c r="AA691" s="182"/>
      <c r="AB691" s="182"/>
      <c r="AC691" s="182"/>
      <c r="AD691" s="182"/>
      <c r="AE691" s="182"/>
      <c r="AF691" s="182"/>
      <c r="AG691" s="182"/>
      <c r="AH691" s="182"/>
      <c r="AI691" s="182"/>
      <c r="AJ691" s="182"/>
      <c r="AK691" s="182"/>
      <c r="AL691" s="182"/>
      <c r="AM691" s="182"/>
      <c r="AN691" s="182"/>
      <c r="AO691" s="182"/>
      <c r="AP691" s="182"/>
      <c r="AQ691" s="182"/>
      <c r="AR691" s="182"/>
      <c r="AS691" s="182"/>
      <c r="AT691" s="182"/>
      <c r="AU691" s="182"/>
      <c r="AV691" s="182"/>
      <c r="AW691" s="182"/>
      <c r="AX691" s="182"/>
      <c r="AY691" s="182"/>
      <c r="AZ691" s="182"/>
      <c r="BA691" s="182"/>
      <c r="BB691" s="182"/>
      <c r="BC691" s="182"/>
      <c r="BD691" s="182"/>
      <c r="BE691" s="182"/>
    </row>
    <row r="692" spans="3:57">
      <c r="C692" s="664">
        <v>0</v>
      </c>
      <c r="D692" s="283"/>
      <c r="E692" s="283"/>
      <c r="F692" s="283"/>
      <c r="G692" s="283"/>
      <c r="H692" s="283"/>
      <c r="I692" s="283"/>
      <c r="J692" s="283"/>
      <c r="K692" s="283"/>
      <c r="L692" s="283"/>
      <c r="M692" s="283"/>
      <c r="N692" s="283"/>
      <c r="O692" s="283"/>
      <c r="P692" s="283"/>
      <c r="Q692" s="667"/>
      <c r="R692" s="182"/>
      <c r="S692" s="182"/>
      <c r="T692" s="182"/>
      <c r="U692" s="182"/>
      <c r="V692" s="182"/>
      <c r="W692" s="182"/>
      <c r="X692" s="182"/>
      <c r="Y692" s="182"/>
      <c r="Z692" s="182"/>
      <c r="AA692" s="182"/>
      <c r="AB692" s="182"/>
      <c r="AC692" s="182"/>
      <c r="AD692" s="182"/>
      <c r="AE692" s="182"/>
      <c r="AF692" s="182"/>
      <c r="AG692" s="182"/>
      <c r="AH692" s="182"/>
      <c r="AI692" s="182"/>
      <c r="AJ692" s="182"/>
      <c r="AK692" s="182"/>
      <c r="AL692" s="182"/>
      <c r="AM692" s="182"/>
      <c r="AN692" s="182"/>
      <c r="AO692" s="182"/>
      <c r="AP692" s="182"/>
      <c r="AQ692" s="182"/>
      <c r="AR692" s="182"/>
      <c r="AS692" s="182"/>
      <c r="AT692" s="182"/>
      <c r="AU692" s="182"/>
      <c r="AV692" s="182"/>
      <c r="AW692" s="182"/>
      <c r="AX692" s="182"/>
      <c r="AY692" s="182"/>
      <c r="AZ692" s="182"/>
      <c r="BA692" s="182"/>
      <c r="BB692" s="182"/>
      <c r="BC692" s="182"/>
      <c r="BD692" s="182"/>
      <c r="BE692" s="182"/>
    </row>
    <row r="693" spans="3:57">
      <c r="C693" s="664">
        <v>1</v>
      </c>
      <c r="D693" s="283"/>
      <c r="E693" s="283"/>
      <c r="F693" s="283" t="e">
        <f t="shared" ref="F693:Q702" si="256">-F$682*F$689*HLOOKUP((F$681+$C693),$D$581:$BA$582,2,FALSE)</f>
        <v>#DIV/0!</v>
      </c>
      <c r="G693" s="283" t="e">
        <f t="shared" si="256"/>
        <v>#DIV/0!</v>
      </c>
      <c r="H693" s="283" t="e">
        <f t="shared" si="256"/>
        <v>#DIV/0!</v>
      </c>
      <c r="I693" s="283" t="e">
        <f t="shared" si="256"/>
        <v>#DIV/0!</v>
      </c>
      <c r="J693" s="283" t="e">
        <f t="shared" si="256"/>
        <v>#DIV/0!</v>
      </c>
      <c r="K693" s="283" t="e">
        <f t="shared" si="256"/>
        <v>#DIV/0!</v>
      </c>
      <c r="L693" s="283" t="e">
        <f t="shared" si="256"/>
        <v>#DIV/0!</v>
      </c>
      <c r="M693" s="283" t="e">
        <f t="shared" si="256"/>
        <v>#DIV/0!</v>
      </c>
      <c r="N693" s="283" t="e">
        <f t="shared" si="256"/>
        <v>#DIV/0!</v>
      </c>
      <c r="O693" s="283" t="e">
        <f t="shared" si="256"/>
        <v>#DIV/0!</v>
      </c>
      <c r="P693" s="283" t="e">
        <f t="shared" si="256"/>
        <v>#DIV/0!</v>
      </c>
      <c r="Q693" s="667" t="e">
        <f t="shared" si="256"/>
        <v>#DIV/0!</v>
      </c>
      <c r="R693" s="182"/>
      <c r="S693" s="182"/>
      <c r="T693" s="182"/>
      <c r="U693" s="182"/>
      <c r="V693" s="182"/>
      <c r="W693" s="182"/>
      <c r="X693" s="182"/>
      <c r="Y693" s="182"/>
      <c r="Z693" s="182"/>
      <c r="AA693" s="182"/>
      <c r="AB693" s="182"/>
      <c r="AC693" s="182"/>
      <c r="AD693" s="182"/>
      <c r="AE693" s="182"/>
      <c r="AF693" s="182"/>
      <c r="AG693" s="182"/>
      <c r="AH693" s="182"/>
      <c r="AI693" s="182"/>
      <c r="AJ693" s="182"/>
      <c r="AK693" s="182"/>
      <c r="AL693" s="182"/>
      <c r="AM693" s="182"/>
      <c r="AN693" s="182"/>
      <c r="AO693" s="182"/>
      <c r="AP693" s="182"/>
      <c r="AQ693" s="182"/>
      <c r="AR693" s="182"/>
      <c r="AS693" s="182"/>
      <c r="AT693" s="182"/>
      <c r="AU693" s="182"/>
      <c r="AV693" s="182"/>
      <c r="AW693" s="182"/>
      <c r="AX693" s="182"/>
      <c r="AY693" s="182"/>
      <c r="AZ693" s="182"/>
      <c r="BA693" s="182"/>
      <c r="BB693" s="182"/>
      <c r="BC693" s="182"/>
      <c r="BD693" s="182"/>
      <c r="BE693" s="182"/>
    </row>
    <row r="694" spans="3:57">
      <c r="C694" s="664">
        <v>2</v>
      </c>
      <c r="D694" s="283"/>
      <c r="E694" s="283"/>
      <c r="F694" s="283" t="e">
        <f t="shared" si="256"/>
        <v>#DIV/0!</v>
      </c>
      <c r="G694" s="283" t="e">
        <f t="shared" si="256"/>
        <v>#DIV/0!</v>
      </c>
      <c r="H694" s="283" t="e">
        <f t="shared" si="256"/>
        <v>#DIV/0!</v>
      </c>
      <c r="I694" s="283" t="e">
        <f t="shared" si="256"/>
        <v>#DIV/0!</v>
      </c>
      <c r="J694" s="283" t="e">
        <f t="shared" si="256"/>
        <v>#DIV/0!</v>
      </c>
      <c r="K694" s="283" t="e">
        <f t="shared" si="256"/>
        <v>#DIV/0!</v>
      </c>
      <c r="L694" s="283" t="e">
        <f t="shared" si="256"/>
        <v>#DIV/0!</v>
      </c>
      <c r="M694" s="283" t="e">
        <f t="shared" si="256"/>
        <v>#DIV/0!</v>
      </c>
      <c r="N694" s="283" t="e">
        <f t="shared" si="256"/>
        <v>#DIV/0!</v>
      </c>
      <c r="O694" s="283" t="e">
        <f t="shared" si="256"/>
        <v>#DIV/0!</v>
      </c>
      <c r="P694" s="283" t="e">
        <f t="shared" si="256"/>
        <v>#DIV/0!</v>
      </c>
      <c r="Q694" s="667" t="e">
        <f t="shared" si="256"/>
        <v>#DIV/0!</v>
      </c>
      <c r="R694" s="182"/>
      <c r="S694" s="182"/>
      <c r="T694" s="182"/>
      <c r="U694" s="182"/>
      <c r="V694" s="182"/>
      <c r="W694" s="182"/>
      <c r="X694" s="182"/>
      <c r="Y694" s="182"/>
      <c r="Z694" s="182"/>
      <c r="AA694" s="182"/>
      <c r="AB694" s="182"/>
      <c r="AC694" s="182"/>
      <c r="AD694" s="182"/>
      <c r="AE694" s="182"/>
      <c r="AF694" s="182"/>
      <c r="AG694" s="182"/>
      <c r="AH694" s="182"/>
      <c r="AI694" s="182"/>
      <c r="AJ694" s="182"/>
      <c r="AK694" s="182"/>
      <c r="AL694" s="182"/>
      <c r="AM694" s="182"/>
      <c r="AN694" s="182"/>
      <c r="AO694" s="182"/>
      <c r="AP694" s="182"/>
      <c r="AQ694" s="182"/>
      <c r="AR694" s="182"/>
      <c r="AS694" s="182"/>
      <c r="AT694" s="182"/>
      <c r="AU694" s="182"/>
      <c r="AV694" s="182"/>
      <c r="AW694" s="182"/>
      <c r="AX694" s="182"/>
      <c r="AY694" s="182"/>
      <c r="AZ694" s="182"/>
      <c r="BA694" s="182"/>
      <c r="BB694" s="182"/>
      <c r="BC694" s="182"/>
      <c r="BD694" s="182"/>
      <c r="BE694" s="182"/>
    </row>
    <row r="695" spans="3:57">
      <c r="C695" s="664">
        <v>3</v>
      </c>
      <c r="D695" s="283"/>
      <c r="E695" s="283"/>
      <c r="F695" s="283" t="e">
        <f t="shared" si="256"/>
        <v>#DIV/0!</v>
      </c>
      <c r="G695" s="283" t="e">
        <f t="shared" si="256"/>
        <v>#DIV/0!</v>
      </c>
      <c r="H695" s="283" t="e">
        <f t="shared" si="256"/>
        <v>#DIV/0!</v>
      </c>
      <c r="I695" s="283" t="e">
        <f t="shared" si="256"/>
        <v>#DIV/0!</v>
      </c>
      <c r="J695" s="283" t="e">
        <f t="shared" si="256"/>
        <v>#DIV/0!</v>
      </c>
      <c r="K695" s="283" t="e">
        <f t="shared" si="256"/>
        <v>#DIV/0!</v>
      </c>
      <c r="L695" s="283" t="e">
        <f t="shared" si="256"/>
        <v>#DIV/0!</v>
      </c>
      <c r="M695" s="283" t="e">
        <f t="shared" si="256"/>
        <v>#DIV/0!</v>
      </c>
      <c r="N695" s="283" t="e">
        <f t="shared" si="256"/>
        <v>#DIV/0!</v>
      </c>
      <c r="O695" s="283" t="e">
        <f t="shared" si="256"/>
        <v>#DIV/0!</v>
      </c>
      <c r="P695" s="283" t="e">
        <f t="shared" si="256"/>
        <v>#DIV/0!</v>
      </c>
      <c r="Q695" s="667" t="e">
        <f t="shared" si="256"/>
        <v>#DIV/0!</v>
      </c>
      <c r="R695" s="182"/>
      <c r="S695" s="182"/>
      <c r="T695" s="182"/>
      <c r="U695" s="182"/>
      <c r="V695" s="182"/>
      <c r="W695" s="182"/>
      <c r="X695" s="182"/>
      <c r="Y695" s="182"/>
      <c r="Z695" s="182"/>
      <c r="AA695" s="182"/>
      <c r="AB695" s="182"/>
      <c r="AC695" s="182"/>
      <c r="AD695" s="182"/>
      <c r="AE695" s="182"/>
      <c r="AF695" s="182"/>
      <c r="AG695" s="182"/>
      <c r="AH695" s="182"/>
      <c r="AI695" s="182"/>
      <c r="AJ695" s="182"/>
      <c r="AK695" s="182"/>
      <c r="AL695" s="182"/>
      <c r="AM695" s="182"/>
      <c r="AN695" s="182"/>
      <c r="AO695" s="182"/>
      <c r="AP695" s="182"/>
      <c r="AQ695" s="182"/>
      <c r="AR695" s="182"/>
      <c r="AS695" s="182"/>
      <c r="AT695" s="182"/>
      <c r="AU695" s="182"/>
      <c r="AV695" s="182"/>
      <c r="AW695" s="182"/>
      <c r="AX695" s="182"/>
      <c r="AY695" s="182"/>
      <c r="AZ695" s="182"/>
      <c r="BA695" s="182"/>
      <c r="BB695" s="182"/>
      <c r="BC695" s="182"/>
      <c r="BD695" s="182"/>
      <c r="BE695" s="182"/>
    </row>
    <row r="696" spans="3:57">
      <c r="C696" s="664">
        <v>4</v>
      </c>
      <c r="D696" s="283"/>
      <c r="E696" s="283"/>
      <c r="F696" s="283" t="e">
        <f t="shared" si="256"/>
        <v>#DIV/0!</v>
      </c>
      <c r="G696" s="283" t="e">
        <f t="shared" si="256"/>
        <v>#DIV/0!</v>
      </c>
      <c r="H696" s="283" t="e">
        <f t="shared" si="256"/>
        <v>#DIV/0!</v>
      </c>
      <c r="I696" s="283" t="e">
        <f t="shared" si="256"/>
        <v>#DIV/0!</v>
      </c>
      <c r="J696" s="283" t="e">
        <f t="shared" si="256"/>
        <v>#DIV/0!</v>
      </c>
      <c r="K696" s="283" t="e">
        <f t="shared" si="256"/>
        <v>#DIV/0!</v>
      </c>
      <c r="L696" s="283" t="e">
        <f t="shared" si="256"/>
        <v>#DIV/0!</v>
      </c>
      <c r="M696" s="283" t="e">
        <f t="shared" si="256"/>
        <v>#DIV/0!</v>
      </c>
      <c r="N696" s="283" t="e">
        <f t="shared" si="256"/>
        <v>#DIV/0!</v>
      </c>
      <c r="O696" s="283" t="e">
        <f t="shared" si="256"/>
        <v>#DIV/0!</v>
      </c>
      <c r="P696" s="283" t="e">
        <f t="shared" si="256"/>
        <v>#DIV/0!</v>
      </c>
      <c r="Q696" s="667" t="e">
        <f t="shared" si="256"/>
        <v>#DIV/0!</v>
      </c>
      <c r="R696" s="182"/>
      <c r="S696" s="182"/>
      <c r="T696" s="182"/>
      <c r="U696" s="182"/>
      <c r="V696" s="182"/>
      <c r="W696" s="182"/>
      <c r="X696" s="182"/>
      <c r="Y696" s="182"/>
      <c r="Z696" s="182"/>
      <c r="AA696" s="182"/>
      <c r="AB696" s="182"/>
      <c r="AC696" s="182"/>
      <c r="AD696" s="182"/>
      <c r="AE696" s="182"/>
      <c r="AF696" s="182"/>
      <c r="AG696" s="182"/>
      <c r="AH696" s="182"/>
      <c r="AI696" s="182"/>
      <c r="AJ696" s="182"/>
      <c r="AK696" s="182"/>
      <c r="AL696" s="182"/>
      <c r="AM696" s="182"/>
      <c r="AN696" s="182"/>
      <c r="AO696" s="182"/>
      <c r="AP696" s="182"/>
      <c r="AQ696" s="182"/>
      <c r="AR696" s="182"/>
      <c r="AS696" s="182"/>
      <c r="AT696" s="182"/>
      <c r="AU696" s="182"/>
      <c r="AV696" s="182"/>
      <c r="AW696" s="182"/>
      <c r="AX696" s="182"/>
      <c r="AY696" s="182"/>
      <c r="AZ696" s="182"/>
      <c r="BA696" s="182"/>
      <c r="BB696" s="182"/>
      <c r="BC696" s="182"/>
      <c r="BD696" s="182"/>
      <c r="BE696" s="182"/>
    </row>
    <row r="697" spans="3:57">
      <c r="C697" s="664">
        <v>5</v>
      </c>
      <c r="D697" s="283"/>
      <c r="E697" s="283"/>
      <c r="F697" s="283" t="e">
        <f t="shared" si="256"/>
        <v>#DIV/0!</v>
      </c>
      <c r="G697" s="283" t="e">
        <f t="shared" si="256"/>
        <v>#DIV/0!</v>
      </c>
      <c r="H697" s="283" t="e">
        <f t="shared" si="256"/>
        <v>#DIV/0!</v>
      </c>
      <c r="I697" s="283" t="e">
        <f t="shared" si="256"/>
        <v>#DIV/0!</v>
      </c>
      <c r="J697" s="283" t="e">
        <f t="shared" si="256"/>
        <v>#DIV/0!</v>
      </c>
      <c r="K697" s="283" t="e">
        <f t="shared" si="256"/>
        <v>#DIV/0!</v>
      </c>
      <c r="L697" s="283" t="e">
        <f t="shared" si="256"/>
        <v>#DIV/0!</v>
      </c>
      <c r="M697" s="283" t="e">
        <f t="shared" si="256"/>
        <v>#DIV/0!</v>
      </c>
      <c r="N697" s="283" t="e">
        <f t="shared" si="256"/>
        <v>#DIV/0!</v>
      </c>
      <c r="O697" s="283" t="e">
        <f t="shared" si="256"/>
        <v>#DIV/0!</v>
      </c>
      <c r="P697" s="283" t="e">
        <f t="shared" si="256"/>
        <v>#DIV/0!</v>
      </c>
      <c r="Q697" s="667" t="e">
        <f t="shared" si="256"/>
        <v>#DIV/0!</v>
      </c>
      <c r="R697" s="182"/>
      <c r="S697" s="182"/>
      <c r="T697" s="182"/>
      <c r="U697" s="182"/>
      <c r="V697" s="182"/>
      <c r="W697" s="182"/>
      <c r="X697" s="182"/>
      <c r="Y697" s="182"/>
      <c r="Z697" s="182"/>
      <c r="AA697" s="182"/>
      <c r="AB697" s="182"/>
      <c r="AC697" s="182"/>
      <c r="AD697" s="182"/>
      <c r="AE697" s="182"/>
      <c r="AF697" s="182"/>
      <c r="AG697" s="182"/>
      <c r="AH697" s="182"/>
      <c r="AI697" s="182"/>
      <c r="AJ697" s="182"/>
      <c r="AK697" s="182"/>
      <c r="AL697" s="182"/>
      <c r="AM697" s="182"/>
      <c r="AN697" s="182"/>
      <c r="AO697" s="182"/>
      <c r="AP697" s="182"/>
      <c r="AQ697" s="182"/>
      <c r="AR697" s="182"/>
      <c r="AS697" s="182"/>
      <c r="AT697" s="182"/>
      <c r="AU697" s="182"/>
      <c r="AV697" s="182"/>
      <c r="AW697" s="182"/>
      <c r="AX697" s="182"/>
      <c r="AY697" s="182"/>
      <c r="AZ697" s="182"/>
      <c r="BA697" s="182"/>
      <c r="BB697" s="182"/>
      <c r="BC697" s="182"/>
      <c r="BD697" s="182"/>
      <c r="BE697" s="182"/>
    </row>
    <row r="698" spans="3:57">
      <c r="C698" s="664">
        <v>6</v>
      </c>
      <c r="D698" s="283"/>
      <c r="E698" s="283"/>
      <c r="F698" s="283" t="e">
        <f t="shared" si="256"/>
        <v>#DIV/0!</v>
      </c>
      <c r="G698" s="283" t="e">
        <f t="shared" si="256"/>
        <v>#DIV/0!</v>
      </c>
      <c r="H698" s="283" t="e">
        <f t="shared" si="256"/>
        <v>#DIV/0!</v>
      </c>
      <c r="I698" s="283" t="e">
        <f t="shared" si="256"/>
        <v>#DIV/0!</v>
      </c>
      <c r="J698" s="283" t="e">
        <f t="shared" si="256"/>
        <v>#DIV/0!</v>
      </c>
      <c r="K698" s="283" t="e">
        <f t="shared" si="256"/>
        <v>#DIV/0!</v>
      </c>
      <c r="L698" s="283" t="e">
        <f t="shared" si="256"/>
        <v>#DIV/0!</v>
      </c>
      <c r="M698" s="283" t="e">
        <f t="shared" si="256"/>
        <v>#DIV/0!</v>
      </c>
      <c r="N698" s="283" t="e">
        <f t="shared" si="256"/>
        <v>#DIV/0!</v>
      </c>
      <c r="O698" s="283" t="e">
        <f t="shared" si="256"/>
        <v>#DIV/0!</v>
      </c>
      <c r="P698" s="283" t="e">
        <f t="shared" si="256"/>
        <v>#DIV/0!</v>
      </c>
      <c r="Q698" s="667" t="e">
        <f t="shared" si="256"/>
        <v>#DIV/0!</v>
      </c>
      <c r="R698" s="182"/>
      <c r="S698" s="182"/>
      <c r="T698" s="182"/>
      <c r="U698" s="182"/>
      <c r="V698" s="182"/>
      <c r="W698" s="182"/>
      <c r="X698" s="182"/>
      <c r="Y698" s="182"/>
      <c r="Z698" s="182"/>
      <c r="AA698" s="182"/>
      <c r="AB698" s="182"/>
      <c r="AC698" s="182"/>
      <c r="AD698" s="182"/>
      <c r="AE698" s="182"/>
      <c r="AF698" s="182"/>
      <c r="AG698" s="182"/>
      <c r="AH698" s="182"/>
      <c r="AI698" s="182"/>
      <c r="AJ698" s="182"/>
      <c r="AK698" s="182"/>
      <c r="AL698" s="182"/>
      <c r="AM698" s="182"/>
      <c r="AN698" s="182"/>
      <c r="AO698" s="182"/>
      <c r="AP698" s="182"/>
      <c r="AQ698" s="182"/>
      <c r="AR698" s="182"/>
      <c r="AS698" s="182"/>
      <c r="AT698" s="182"/>
      <c r="AU698" s="182"/>
      <c r="AV698" s="182"/>
      <c r="AW698" s="182"/>
      <c r="AX698" s="182"/>
      <c r="AY698" s="182"/>
      <c r="AZ698" s="182"/>
      <c r="BA698" s="182"/>
      <c r="BB698" s="182"/>
      <c r="BC698" s="182"/>
      <c r="BD698" s="182"/>
      <c r="BE698" s="182"/>
    </row>
    <row r="699" spans="3:57">
      <c r="C699" s="664">
        <v>7</v>
      </c>
      <c r="D699" s="283"/>
      <c r="E699" s="283"/>
      <c r="F699" s="283" t="e">
        <f t="shared" si="256"/>
        <v>#DIV/0!</v>
      </c>
      <c r="G699" s="283" t="e">
        <f t="shared" si="256"/>
        <v>#DIV/0!</v>
      </c>
      <c r="H699" s="283" t="e">
        <f t="shared" si="256"/>
        <v>#DIV/0!</v>
      </c>
      <c r="I699" s="283" t="e">
        <f t="shared" si="256"/>
        <v>#DIV/0!</v>
      </c>
      <c r="J699" s="283" t="e">
        <f t="shared" si="256"/>
        <v>#DIV/0!</v>
      </c>
      <c r="K699" s="283" t="e">
        <f t="shared" si="256"/>
        <v>#DIV/0!</v>
      </c>
      <c r="L699" s="283" t="e">
        <f t="shared" si="256"/>
        <v>#DIV/0!</v>
      </c>
      <c r="M699" s="283" t="e">
        <f t="shared" si="256"/>
        <v>#DIV/0!</v>
      </c>
      <c r="N699" s="283" t="e">
        <f t="shared" si="256"/>
        <v>#DIV/0!</v>
      </c>
      <c r="O699" s="283" t="e">
        <f t="shared" si="256"/>
        <v>#DIV/0!</v>
      </c>
      <c r="P699" s="283" t="e">
        <f t="shared" si="256"/>
        <v>#DIV/0!</v>
      </c>
      <c r="Q699" s="667" t="e">
        <f t="shared" si="256"/>
        <v>#DIV/0!</v>
      </c>
      <c r="R699" s="182"/>
      <c r="S699" s="182"/>
      <c r="T699" s="182"/>
      <c r="U699" s="182"/>
      <c r="V699" s="182"/>
      <c r="W699" s="182"/>
      <c r="X699" s="182"/>
      <c r="Y699" s="182"/>
      <c r="Z699" s="182"/>
      <c r="AA699" s="182"/>
      <c r="AB699" s="182"/>
      <c r="AC699" s="182"/>
      <c r="AD699" s="182"/>
      <c r="AE699" s="182"/>
      <c r="AF699" s="182"/>
      <c r="AG699" s="182"/>
      <c r="AH699" s="182"/>
      <c r="AI699" s="182"/>
      <c r="AJ699" s="182"/>
      <c r="AK699" s="182"/>
      <c r="AL699" s="182"/>
      <c r="AM699" s="182"/>
      <c r="AN699" s="182"/>
      <c r="AO699" s="182"/>
      <c r="AP699" s="182"/>
      <c r="AQ699" s="182"/>
      <c r="AR699" s="182"/>
      <c r="AS699" s="182"/>
      <c r="AT699" s="182"/>
      <c r="AU699" s="182"/>
      <c r="AV699" s="182"/>
      <c r="AW699" s="182"/>
      <c r="AX699" s="182"/>
      <c r="AY699" s="182"/>
      <c r="AZ699" s="182"/>
      <c r="BA699" s="182"/>
      <c r="BB699" s="182"/>
      <c r="BC699" s="182"/>
      <c r="BD699" s="182"/>
      <c r="BE699" s="182"/>
    </row>
    <row r="700" spans="3:57">
      <c r="C700" s="664">
        <v>8</v>
      </c>
      <c r="D700" s="283"/>
      <c r="E700" s="283"/>
      <c r="F700" s="283" t="e">
        <f t="shared" si="256"/>
        <v>#DIV/0!</v>
      </c>
      <c r="G700" s="283" t="e">
        <f t="shared" si="256"/>
        <v>#DIV/0!</v>
      </c>
      <c r="H700" s="283" t="e">
        <f t="shared" si="256"/>
        <v>#DIV/0!</v>
      </c>
      <c r="I700" s="283" t="e">
        <f t="shared" si="256"/>
        <v>#DIV/0!</v>
      </c>
      <c r="J700" s="283" t="e">
        <f t="shared" si="256"/>
        <v>#DIV/0!</v>
      </c>
      <c r="K700" s="283" t="e">
        <f t="shared" si="256"/>
        <v>#DIV/0!</v>
      </c>
      <c r="L700" s="283" t="e">
        <f t="shared" si="256"/>
        <v>#DIV/0!</v>
      </c>
      <c r="M700" s="283" t="e">
        <f t="shared" si="256"/>
        <v>#DIV/0!</v>
      </c>
      <c r="N700" s="283" t="e">
        <f t="shared" si="256"/>
        <v>#DIV/0!</v>
      </c>
      <c r="O700" s="283" t="e">
        <f t="shared" si="256"/>
        <v>#DIV/0!</v>
      </c>
      <c r="P700" s="283" t="e">
        <f t="shared" si="256"/>
        <v>#DIV/0!</v>
      </c>
      <c r="Q700" s="667" t="e">
        <f t="shared" si="256"/>
        <v>#DIV/0!</v>
      </c>
      <c r="R700" s="182"/>
      <c r="S700" s="182"/>
      <c r="T700" s="182"/>
      <c r="U700" s="182"/>
      <c r="V700" s="182"/>
      <c r="W700" s="182"/>
      <c r="X700" s="182"/>
      <c r="Y700" s="182"/>
      <c r="Z700" s="182"/>
      <c r="AA700" s="182"/>
      <c r="AB700" s="182"/>
      <c r="AC700" s="182"/>
      <c r="AD700" s="182"/>
      <c r="AE700" s="182"/>
      <c r="AF700" s="182"/>
      <c r="AG700" s="182"/>
      <c r="AH700" s="182"/>
      <c r="AI700" s="182"/>
      <c r="AJ700" s="182"/>
      <c r="AK700" s="182"/>
      <c r="AL700" s="182"/>
      <c r="AM700" s="182"/>
      <c r="AN700" s="182"/>
      <c r="AO700" s="182"/>
      <c r="AP700" s="182"/>
      <c r="AQ700" s="182"/>
      <c r="AR700" s="182"/>
      <c r="AS700" s="182"/>
      <c r="AT700" s="182"/>
      <c r="AU700" s="182"/>
      <c r="AV700" s="182"/>
      <c r="AW700" s="182"/>
      <c r="AX700" s="182"/>
      <c r="AY700" s="182"/>
      <c r="AZ700" s="182"/>
      <c r="BA700" s="182"/>
      <c r="BB700" s="182"/>
      <c r="BC700" s="182"/>
      <c r="BD700" s="182"/>
      <c r="BE700" s="182"/>
    </row>
    <row r="701" spans="3:57">
      <c r="C701" s="664">
        <v>9</v>
      </c>
      <c r="D701" s="283"/>
      <c r="E701" s="283"/>
      <c r="F701" s="283" t="e">
        <f t="shared" si="256"/>
        <v>#DIV/0!</v>
      </c>
      <c r="G701" s="283" t="e">
        <f t="shared" si="256"/>
        <v>#DIV/0!</v>
      </c>
      <c r="H701" s="283" t="e">
        <f t="shared" si="256"/>
        <v>#DIV/0!</v>
      </c>
      <c r="I701" s="283" t="e">
        <f t="shared" si="256"/>
        <v>#DIV/0!</v>
      </c>
      <c r="J701" s="283" t="e">
        <f t="shared" si="256"/>
        <v>#DIV/0!</v>
      </c>
      <c r="K701" s="283" t="e">
        <f t="shared" si="256"/>
        <v>#DIV/0!</v>
      </c>
      <c r="L701" s="283" t="e">
        <f t="shared" si="256"/>
        <v>#DIV/0!</v>
      </c>
      <c r="M701" s="283" t="e">
        <f t="shared" si="256"/>
        <v>#DIV/0!</v>
      </c>
      <c r="N701" s="283" t="e">
        <f t="shared" si="256"/>
        <v>#DIV/0!</v>
      </c>
      <c r="O701" s="283" t="e">
        <f t="shared" si="256"/>
        <v>#DIV/0!</v>
      </c>
      <c r="P701" s="283" t="e">
        <f t="shared" si="256"/>
        <v>#DIV/0!</v>
      </c>
      <c r="Q701" s="667" t="e">
        <f t="shared" si="256"/>
        <v>#DIV/0!</v>
      </c>
      <c r="R701" s="182"/>
      <c r="S701" s="182"/>
      <c r="T701" s="182"/>
      <c r="U701" s="182"/>
      <c r="V701" s="182"/>
      <c r="W701" s="182"/>
      <c r="X701" s="182"/>
      <c r="Y701" s="182"/>
      <c r="Z701" s="182"/>
      <c r="AA701" s="182"/>
      <c r="AB701" s="182"/>
      <c r="AC701" s="182"/>
      <c r="AD701" s="182"/>
      <c r="AE701" s="182"/>
      <c r="AF701" s="182"/>
      <c r="AG701" s="182"/>
      <c r="AH701" s="182"/>
      <c r="AI701" s="182"/>
      <c r="AJ701" s="182"/>
      <c r="AK701" s="182"/>
      <c r="AL701" s="182"/>
      <c r="AM701" s="182"/>
      <c r="AN701" s="182"/>
      <c r="AO701" s="182"/>
      <c r="AP701" s="182"/>
      <c r="AQ701" s="182"/>
      <c r="AR701" s="182"/>
      <c r="AS701" s="182"/>
      <c r="AT701" s="182"/>
      <c r="AU701" s="182"/>
      <c r="AV701" s="182"/>
      <c r="AW701" s="182"/>
      <c r="AX701" s="182"/>
      <c r="AY701" s="182"/>
      <c r="AZ701" s="182"/>
      <c r="BA701" s="182"/>
      <c r="BB701" s="182"/>
      <c r="BC701" s="182"/>
      <c r="BD701" s="182"/>
      <c r="BE701" s="182"/>
    </row>
    <row r="702" spans="3:57">
      <c r="C702" s="664">
        <v>10</v>
      </c>
      <c r="D702" s="283"/>
      <c r="E702" s="283"/>
      <c r="F702" s="283" t="e">
        <f t="shared" si="256"/>
        <v>#DIV/0!</v>
      </c>
      <c r="G702" s="283" t="e">
        <f t="shared" si="256"/>
        <v>#DIV/0!</v>
      </c>
      <c r="H702" s="283" t="e">
        <f t="shared" si="256"/>
        <v>#DIV/0!</v>
      </c>
      <c r="I702" s="283" t="e">
        <f t="shared" si="256"/>
        <v>#DIV/0!</v>
      </c>
      <c r="J702" s="283" t="e">
        <f t="shared" si="256"/>
        <v>#DIV/0!</v>
      </c>
      <c r="K702" s="283" t="e">
        <f t="shared" si="256"/>
        <v>#DIV/0!</v>
      </c>
      <c r="L702" s="283" t="e">
        <f t="shared" si="256"/>
        <v>#DIV/0!</v>
      </c>
      <c r="M702" s="283" t="e">
        <f t="shared" si="256"/>
        <v>#DIV/0!</v>
      </c>
      <c r="N702" s="283" t="e">
        <f t="shared" si="256"/>
        <v>#DIV/0!</v>
      </c>
      <c r="O702" s="283" t="e">
        <f t="shared" si="256"/>
        <v>#DIV/0!</v>
      </c>
      <c r="P702" s="283" t="e">
        <f t="shared" si="256"/>
        <v>#DIV/0!</v>
      </c>
      <c r="Q702" s="667" t="e">
        <f t="shared" si="256"/>
        <v>#DIV/0!</v>
      </c>
      <c r="R702" s="182"/>
      <c r="S702" s="182"/>
      <c r="T702" s="182"/>
      <c r="U702" s="182"/>
      <c r="V702" s="182"/>
      <c r="W702" s="182"/>
      <c r="X702" s="182"/>
      <c r="Y702" s="182"/>
      <c r="Z702" s="182"/>
      <c r="AA702" s="182"/>
      <c r="AB702" s="182"/>
      <c r="AC702" s="182"/>
      <c r="AD702" s="182"/>
      <c r="AE702" s="182"/>
      <c r="AF702" s="182"/>
      <c r="AG702" s="182"/>
      <c r="AH702" s="182"/>
      <c r="AI702" s="182"/>
      <c r="AJ702" s="182"/>
      <c r="AK702" s="182"/>
      <c r="AL702" s="182"/>
      <c r="AM702" s="182"/>
      <c r="AN702" s="182"/>
      <c r="AO702" s="182"/>
      <c r="AP702" s="182"/>
      <c r="AQ702" s="182"/>
      <c r="AR702" s="182"/>
      <c r="AS702" s="182"/>
      <c r="AT702" s="182"/>
      <c r="AU702" s="182"/>
      <c r="AV702" s="182"/>
      <c r="AW702" s="182"/>
      <c r="AX702" s="182"/>
      <c r="AY702" s="182"/>
      <c r="AZ702" s="182"/>
      <c r="BA702" s="182"/>
      <c r="BB702" s="182"/>
      <c r="BC702" s="182"/>
      <c r="BD702" s="182"/>
      <c r="BE702" s="182"/>
    </row>
    <row r="703" spans="3:57">
      <c r="C703" s="664">
        <v>11</v>
      </c>
      <c r="D703" s="283"/>
      <c r="E703" s="283"/>
      <c r="F703" s="283" t="e">
        <f t="shared" ref="F703:Q712" si="257">-F$682*F$689*HLOOKUP((F$681+$C703),$D$581:$BA$582,2,FALSE)</f>
        <v>#DIV/0!</v>
      </c>
      <c r="G703" s="283" t="e">
        <f t="shared" si="257"/>
        <v>#DIV/0!</v>
      </c>
      <c r="H703" s="283" t="e">
        <f t="shared" si="257"/>
        <v>#DIV/0!</v>
      </c>
      <c r="I703" s="283" t="e">
        <f t="shared" si="257"/>
        <v>#DIV/0!</v>
      </c>
      <c r="J703" s="283" t="e">
        <f t="shared" si="257"/>
        <v>#DIV/0!</v>
      </c>
      <c r="K703" s="283" t="e">
        <f t="shared" si="257"/>
        <v>#DIV/0!</v>
      </c>
      <c r="L703" s="283" t="e">
        <f t="shared" si="257"/>
        <v>#DIV/0!</v>
      </c>
      <c r="M703" s="283" t="e">
        <f t="shared" si="257"/>
        <v>#DIV/0!</v>
      </c>
      <c r="N703" s="283" t="e">
        <f t="shared" si="257"/>
        <v>#DIV/0!</v>
      </c>
      <c r="O703" s="283" t="e">
        <f t="shared" si="257"/>
        <v>#DIV/0!</v>
      </c>
      <c r="P703" s="283" t="e">
        <f t="shared" si="257"/>
        <v>#DIV/0!</v>
      </c>
      <c r="Q703" s="667" t="e">
        <f t="shared" si="257"/>
        <v>#DIV/0!</v>
      </c>
      <c r="R703" s="182"/>
      <c r="S703" s="182"/>
      <c r="T703" s="182"/>
      <c r="U703" s="182"/>
      <c r="V703" s="182"/>
      <c r="W703" s="182"/>
      <c r="X703" s="182"/>
      <c r="Y703" s="182"/>
      <c r="Z703" s="182"/>
      <c r="AA703" s="182"/>
      <c r="AB703" s="182"/>
      <c r="AC703" s="182"/>
      <c r="AD703" s="182"/>
      <c r="AE703" s="182"/>
      <c r="AF703" s="182"/>
      <c r="AG703" s="182"/>
      <c r="AH703" s="182"/>
      <c r="AI703" s="182"/>
      <c r="AJ703" s="182"/>
      <c r="AK703" s="182"/>
      <c r="AL703" s="182"/>
      <c r="AM703" s="182"/>
      <c r="AN703" s="182"/>
      <c r="AO703" s="182"/>
      <c r="AP703" s="182"/>
      <c r="AQ703" s="182"/>
      <c r="AR703" s="182"/>
      <c r="AS703" s="182"/>
      <c r="AT703" s="182"/>
      <c r="AU703" s="182"/>
      <c r="AV703" s="182"/>
      <c r="AW703" s="182"/>
      <c r="AX703" s="182"/>
      <c r="AY703" s="182"/>
      <c r="AZ703" s="182"/>
      <c r="BA703" s="182"/>
      <c r="BB703" s="182"/>
      <c r="BC703" s="182"/>
      <c r="BD703" s="182"/>
      <c r="BE703" s="182"/>
    </row>
    <row r="704" spans="3:57">
      <c r="C704" s="664">
        <v>12</v>
      </c>
      <c r="D704" s="283"/>
      <c r="E704" s="283"/>
      <c r="F704" s="283" t="e">
        <f t="shared" si="257"/>
        <v>#DIV/0!</v>
      </c>
      <c r="G704" s="283" t="e">
        <f t="shared" si="257"/>
        <v>#DIV/0!</v>
      </c>
      <c r="H704" s="283" t="e">
        <f t="shared" si="257"/>
        <v>#DIV/0!</v>
      </c>
      <c r="I704" s="283" t="e">
        <f t="shared" si="257"/>
        <v>#DIV/0!</v>
      </c>
      <c r="J704" s="283" t="e">
        <f t="shared" si="257"/>
        <v>#DIV/0!</v>
      </c>
      <c r="K704" s="283" t="e">
        <f t="shared" si="257"/>
        <v>#DIV/0!</v>
      </c>
      <c r="L704" s="283" t="e">
        <f t="shared" si="257"/>
        <v>#DIV/0!</v>
      </c>
      <c r="M704" s="283" t="e">
        <f t="shared" si="257"/>
        <v>#DIV/0!</v>
      </c>
      <c r="N704" s="283" t="e">
        <f t="shared" si="257"/>
        <v>#DIV/0!</v>
      </c>
      <c r="O704" s="283" t="e">
        <f t="shared" si="257"/>
        <v>#DIV/0!</v>
      </c>
      <c r="P704" s="283" t="e">
        <f t="shared" si="257"/>
        <v>#DIV/0!</v>
      </c>
      <c r="Q704" s="667" t="e">
        <f t="shared" si="257"/>
        <v>#DIV/0!</v>
      </c>
      <c r="R704" s="182"/>
      <c r="S704" s="182"/>
      <c r="T704" s="182"/>
      <c r="U704" s="182"/>
      <c r="V704" s="182"/>
      <c r="W704" s="182"/>
      <c r="X704" s="182"/>
      <c r="Y704" s="182"/>
      <c r="Z704" s="182"/>
      <c r="AA704" s="182"/>
      <c r="AB704" s="182"/>
      <c r="AC704" s="182"/>
      <c r="AD704" s="182"/>
      <c r="AE704" s="182"/>
      <c r="AF704" s="182"/>
      <c r="AG704" s="182"/>
      <c r="AH704" s="182"/>
      <c r="AI704" s="182"/>
      <c r="AJ704" s="182"/>
      <c r="AK704" s="182"/>
      <c r="AL704" s="182"/>
      <c r="AM704" s="182"/>
      <c r="AN704" s="182"/>
      <c r="AO704" s="182"/>
      <c r="AP704" s="182"/>
      <c r="AQ704" s="182"/>
      <c r="AR704" s="182"/>
      <c r="AS704" s="182"/>
      <c r="AT704" s="182"/>
      <c r="AU704" s="182"/>
      <c r="AV704" s="182"/>
      <c r="AW704" s="182"/>
      <c r="AX704" s="182"/>
      <c r="AY704" s="182"/>
      <c r="AZ704" s="182"/>
      <c r="BA704" s="182"/>
      <c r="BB704" s="182"/>
      <c r="BC704" s="182"/>
      <c r="BD704" s="182"/>
      <c r="BE704" s="182"/>
    </row>
    <row r="705" spans="3:57">
      <c r="C705" s="664">
        <v>13</v>
      </c>
      <c r="D705" s="283"/>
      <c r="E705" s="283"/>
      <c r="F705" s="283" t="e">
        <f t="shared" si="257"/>
        <v>#DIV/0!</v>
      </c>
      <c r="G705" s="283" t="e">
        <f t="shared" si="257"/>
        <v>#DIV/0!</v>
      </c>
      <c r="H705" s="283" t="e">
        <f t="shared" si="257"/>
        <v>#DIV/0!</v>
      </c>
      <c r="I705" s="283" t="e">
        <f t="shared" si="257"/>
        <v>#DIV/0!</v>
      </c>
      <c r="J705" s="283" t="e">
        <f t="shared" si="257"/>
        <v>#DIV/0!</v>
      </c>
      <c r="K705" s="283" t="e">
        <f t="shared" si="257"/>
        <v>#DIV/0!</v>
      </c>
      <c r="L705" s="283" t="e">
        <f t="shared" si="257"/>
        <v>#DIV/0!</v>
      </c>
      <c r="M705" s="283" t="e">
        <f t="shared" si="257"/>
        <v>#DIV/0!</v>
      </c>
      <c r="N705" s="283" t="e">
        <f t="shared" si="257"/>
        <v>#DIV/0!</v>
      </c>
      <c r="O705" s="283" t="e">
        <f t="shared" si="257"/>
        <v>#DIV/0!</v>
      </c>
      <c r="P705" s="283" t="e">
        <f t="shared" si="257"/>
        <v>#DIV/0!</v>
      </c>
      <c r="Q705" s="667" t="e">
        <f t="shared" si="257"/>
        <v>#DIV/0!</v>
      </c>
      <c r="R705" s="182"/>
      <c r="S705" s="182"/>
      <c r="T705" s="182"/>
      <c r="U705" s="182"/>
      <c r="V705" s="182"/>
      <c r="W705" s="182"/>
      <c r="X705" s="182"/>
      <c r="Y705" s="182"/>
      <c r="Z705" s="182"/>
      <c r="AA705" s="182"/>
      <c r="AB705" s="182"/>
      <c r="AC705" s="182"/>
      <c r="AD705" s="182"/>
      <c r="AE705" s="182"/>
      <c r="AF705" s="182"/>
      <c r="AG705" s="182"/>
      <c r="AH705" s="182"/>
      <c r="AI705" s="182"/>
      <c r="AJ705" s="182"/>
      <c r="AK705" s="182"/>
      <c r="AL705" s="182"/>
      <c r="AM705" s="182"/>
      <c r="AN705" s="182"/>
      <c r="AO705" s="182"/>
      <c r="AP705" s="182"/>
      <c r="AQ705" s="182"/>
      <c r="AR705" s="182"/>
      <c r="AS705" s="182"/>
      <c r="AT705" s="182"/>
      <c r="AU705" s="182"/>
      <c r="AV705" s="182"/>
      <c r="AW705" s="182"/>
      <c r="AX705" s="182"/>
      <c r="AY705" s="182"/>
      <c r="AZ705" s="182"/>
      <c r="BA705" s="182"/>
      <c r="BB705" s="182"/>
      <c r="BC705" s="182"/>
      <c r="BD705" s="182"/>
      <c r="BE705" s="182"/>
    </row>
    <row r="706" spans="3:57">
      <c r="C706" s="664">
        <v>14</v>
      </c>
      <c r="D706" s="283"/>
      <c r="E706" s="283"/>
      <c r="F706" s="283" t="e">
        <f t="shared" si="257"/>
        <v>#DIV/0!</v>
      </c>
      <c r="G706" s="283" t="e">
        <f t="shared" si="257"/>
        <v>#DIV/0!</v>
      </c>
      <c r="H706" s="283" t="e">
        <f t="shared" si="257"/>
        <v>#DIV/0!</v>
      </c>
      <c r="I706" s="283" t="e">
        <f t="shared" si="257"/>
        <v>#DIV/0!</v>
      </c>
      <c r="J706" s="283" t="e">
        <f t="shared" si="257"/>
        <v>#DIV/0!</v>
      </c>
      <c r="K706" s="283" t="e">
        <f t="shared" si="257"/>
        <v>#DIV/0!</v>
      </c>
      <c r="L706" s="283" t="e">
        <f t="shared" si="257"/>
        <v>#DIV/0!</v>
      </c>
      <c r="M706" s="283" t="e">
        <f t="shared" si="257"/>
        <v>#DIV/0!</v>
      </c>
      <c r="N706" s="283" t="e">
        <f t="shared" si="257"/>
        <v>#DIV/0!</v>
      </c>
      <c r="O706" s="283" t="e">
        <f t="shared" si="257"/>
        <v>#DIV/0!</v>
      </c>
      <c r="P706" s="283" t="e">
        <f t="shared" si="257"/>
        <v>#DIV/0!</v>
      </c>
      <c r="Q706" s="667" t="e">
        <f t="shared" si="257"/>
        <v>#DIV/0!</v>
      </c>
      <c r="R706" s="182"/>
      <c r="S706" s="182"/>
      <c r="T706" s="182"/>
      <c r="U706" s="182"/>
      <c r="V706" s="182"/>
      <c r="W706" s="182"/>
      <c r="X706" s="182"/>
      <c r="Y706" s="182"/>
      <c r="Z706" s="182"/>
      <c r="AA706" s="182"/>
      <c r="AB706" s="182"/>
      <c r="AC706" s="182"/>
      <c r="AD706" s="182"/>
      <c r="AE706" s="182"/>
      <c r="AF706" s="182"/>
      <c r="AG706" s="182"/>
      <c r="AH706" s="182"/>
      <c r="AI706" s="182"/>
      <c r="AJ706" s="182"/>
      <c r="AK706" s="182"/>
      <c r="AL706" s="182"/>
      <c r="AM706" s="182"/>
      <c r="AN706" s="182"/>
      <c r="AO706" s="182"/>
      <c r="AP706" s="182"/>
      <c r="AQ706" s="182"/>
      <c r="AR706" s="182"/>
      <c r="AS706" s="182"/>
      <c r="AT706" s="182"/>
      <c r="AU706" s="182"/>
      <c r="AV706" s="182"/>
      <c r="AW706" s="182"/>
      <c r="AX706" s="182"/>
      <c r="AY706" s="182"/>
      <c r="AZ706" s="182"/>
      <c r="BA706" s="182"/>
      <c r="BB706" s="182"/>
      <c r="BC706" s="182"/>
      <c r="BD706" s="182"/>
      <c r="BE706" s="182"/>
    </row>
    <row r="707" spans="3:57">
      <c r="C707" s="664">
        <v>15</v>
      </c>
      <c r="D707" s="283"/>
      <c r="E707" s="283"/>
      <c r="F707" s="283" t="e">
        <f t="shared" si="257"/>
        <v>#DIV/0!</v>
      </c>
      <c r="G707" s="283" t="e">
        <f t="shared" si="257"/>
        <v>#DIV/0!</v>
      </c>
      <c r="H707" s="283" t="e">
        <f t="shared" si="257"/>
        <v>#DIV/0!</v>
      </c>
      <c r="I707" s="283" t="e">
        <f t="shared" si="257"/>
        <v>#DIV/0!</v>
      </c>
      <c r="J707" s="283" t="e">
        <f t="shared" si="257"/>
        <v>#DIV/0!</v>
      </c>
      <c r="K707" s="283" t="e">
        <f t="shared" si="257"/>
        <v>#DIV/0!</v>
      </c>
      <c r="L707" s="283" t="e">
        <f t="shared" si="257"/>
        <v>#DIV/0!</v>
      </c>
      <c r="M707" s="283" t="e">
        <f t="shared" si="257"/>
        <v>#DIV/0!</v>
      </c>
      <c r="N707" s="283" t="e">
        <f t="shared" si="257"/>
        <v>#DIV/0!</v>
      </c>
      <c r="O707" s="283" t="e">
        <f t="shared" si="257"/>
        <v>#DIV/0!</v>
      </c>
      <c r="P707" s="283" t="e">
        <f t="shared" si="257"/>
        <v>#DIV/0!</v>
      </c>
      <c r="Q707" s="667" t="e">
        <f t="shared" si="257"/>
        <v>#DIV/0!</v>
      </c>
      <c r="R707" s="182"/>
      <c r="S707" s="182"/>
      <c r="T707" s="182"/>
      <c r="U707" s="182"/>
      <c r="V707" s="182"/>
      <c r="W707" s="182"/>
      <c r="X707" s="182"/>
      <c r="Y707" s="182"/>
      <c r="Z707" s="182"/>
      <c r="AA707" s="182"/>
      <c r="AB707" s="182"/>
      <c r="AC707" s="182"/>
      <c r="AD707" s="182"/>
      <c r="AE707" s="182"/>
      <c r="AF707" s="182"/>
      <c r="AG707" s="182"/>
      <c r="AH707" s="182"/>
      <c r="AI707" s="182"/>
      <c r="AJ707" s="182"/>
      <c r="AK707" s="182"/>
      <c r="AL707" s="182"/>
      <c r="AM707" s="182"/>
      <c r="AN707" s="182"/>
      <c r="AO707" s="182"/>
      <c r="AP707" s="182"/>
      <c r="AQ707" s="182"/>
      <c r="AR707" s="182"/>
      <c r="AS707" s="182"/>
      <c r="AT707" s="182"/>
      <c r="AU707" s="182"/>
      <c r="AV707" s="182"/>
      <c r="AW707" s="182"/>
      <c r="AX707" s="182"/>
      <c r="AY707" s="182"/>
      <c r="AZ707" s="182"/>
      <c r="BA707" s="182"/>
      <c r="BB707" s="182"/>
      <c r="BC707" s="182"/>
      <c r="BD707" s="182"/>
      <c r="BE707" s="182"/>
    </row>
    <row r="708" spans="3:57">
      <c r="C708" s="664">
        <v>16</v>
      </c>
      <c r="D708" s="283"/>
      <c r="E708" s="283"/>
      <c r="F708" s="283" t="e">
        <f t="shared" si="257"/>
        <v>#DIV/0!</v>
      </c>
      <c r="G708" s="283" t="e">
        <f t="shared" si="257"/>
        <v>#DIV/0!</v>
      </c>
      <c r="H708" s="283" t="e">
        <f t="shared" si="257"/>
        <v>#DIV/0!</v>
      </c>
      <c r="I708" s="283" t="e">
        <f t="shared" si="257"/>
        <v>#DIV/0!</v>
      </c>
      <c r="J708" s="283" t="e">
        <f t="shared" si="257"/>
        <v>#DIV/0!</v>
      </c>
      <c r="K708" s="283" t="e">
        <f t="shared" si="257"/>
        <v>#DIV/0!</v>
      </c>
      <c r="L708" s="283" t="e">
        <f t="shared" si="257"/>
        <v>#DIV/0!</v>
      </c>
      <c r="M708" s="283" t="e">
        <f t="shared" si="257"/>
        <v>#DIV/0!</v>
      </c>
      <c r="N708" s="283" t="e">
        <f t="shared" si="257"/>
        <v>#DIV/0!</v>
      </c>
      <c r="O708" s="283" t="e">
        <f t="shared" si="257"/>
        <v>#DIV/0!</v>
      </c>
      <c r="P708" s="283" t="e">
        <f t="shared" si="257"/>
        <v>#DIV/0!</v>
      </c>
      <c r="Q708" s="667" t="e">
        <f t="shared" si="257"/>
        <v>#DIV/0!</v>
      </c>
      <c r="R708" s="182"/>
      <c r="S708" s="182"/>
      <c r="T708" s="182"/>
      <c r="U708" s="182"/>
      <c r="V708" s="182"/>
      <c r="W708" s="182"/>
      <c r="X708" s="182"/>
      <c r="Y708" s="182"/>
      <c r="Z708" s="182"/>
      <c r="AA708" s="182"/>
      <c r="AB708" s="182"/>
      <c r="AC708" s="182"/>
      <c r="AD708" s="182"/>
      <c r="AE708" s="182"/>
      <c r="AF708" s="182"/>
      <c r="AG708" s="182"/>
      <c r="AH708" s="182"/>
      <c r="AI708" s="182"/>
      <c r="AJ708" s="182"/>
      <c r="AK708" s="182"/>
      <c r="AL708" s="182"/>
      <c r="AM708" s="182"/>
      <c r="AN708" s="182"/>
      <c r="AO708" s="182"/>
      <c r="AP708" s="182"/>
      <c r="AQ708" s="182"/>
      <c r="AR708" s="182"/>
      <c r="AS708" s="182"/>
      <c r="AT708" s="182"/>
      <c r="AU708" s="182"/>
      <c r="AV708" s="182"/>
      <c r="AW708" s="182"/>
      <c r="AX708" s="182"/>
      <c r="AY708" s="182"/>
      <c r="AZ708" s="182"/>
      <c r="BA708" s="182"/>
      <c r="BB708" s="182"/>
      <c r="BC708" s="182"/>
      <c r="BD708" s="182"/>
      <c r="BE708" s="182"/>
    </row>
    <row r="709" spans="3:57">
      <c r="C709" s="664">
        <v>17</v>
      </c>
      <c r="D709" s="283"/>
      <c r="E709" s="283"/>
      <c r="F709" s="283" t="e">
        <f t="shared" si="257"/>
        <v>#DIV/0!</v>
      </c>
      <c r="G709" s="283" t="e">
        <f t="shared" si="257"/>
        <v>#DIV/0!</v>
      </c>
      <c r="H709" s="283" t="e">
        <f t="shared" si="257"/>
        <v>#DIV/0!</v>
      </c>
      <c r="I709" s="283" t="e">
        <f t="shared" si="257"/>
        <v>#DIV/0!</v>
      </c>
      <c r="J709" s="283" t="e">
        <f t="shared" si="257"/>
        <v>#DIV/0!</v>
      </c>
      <c r="K709" s="283" t="e">
        <f t="shared" si="257"/>
        <v>#DIV/0!</v>
      </c>
      <c r="L709" s="283" t="e">
        <f t="shared" si="257"/>
        <v>#DIV/0!</v>
      </c>
      <c r="M709" s="283" t="e">
        <f t="shared" si="257"/>
        <v>#DIV/0!</v>
      </c>
      <c r="N709" s="283" t="e">
        <f t="shared" si="257"/>
        <v>#DIV/0!</v>
      </c>
      <c r="O709" s="283" t="e">
        <f t="shared" si="257"/>
        <v>#DIV/0!</v>
      </c>
      <c r="P709" s="283" t="e">
        <f t="shared" si="257"/>
        <v>#DIV/0!</v>
      </c>
      <c r="Q709" s="667" t="e">
        <f t="shared" si="257"/>
        <v>#DIV/0!</v>
      </c>
      <c r="R709" s="182"/>
      <c r="S709" s="182"/>
      <c r="T709" s="182"/>
      <c r="U709" s="182"/>
      <c r="V709" s="182"/>
      <c r="W709" s="182"/>
      <c r="X709" s="182"/>
      <c r="Y709" s="182"/>
      <c r="Z709" s="182"/>
      <c r="AA709" s="182"/>
      <c r="AB709" s="182"/>
      <c r="AC709" s="182"/>
      <c r="AD709" s="182"/>
      <c r="AE709" s="182"/>
      <c r="AF709" s="182"/>
      <c r="AG709" s="182"/>
      <c r="AH709" s="182"/>
      <c r="AI709" s="182"/>
      <c r="AJ709" s="182"/>
      <c r="AK709" s="182"/>
      <c r="AL709" s="182"/>
      <c r="AM709" s="182"/>
      <c r="AN709" s="182"/>
      <c r="AO709" s="182"/>
      <c r="AP709" s="182"/>
      <c r="AQ709" s="182"/>
      <c r="AR709" s="182"/>
      <c r="AS709" s="182"/>
      <c r="AT709" s="182"/>
      <c r="AU709" s="182"/>
      <c r="AV709" s="182"/>
      <c r="AW709" s="182"/>
      <c r="AX709" s="182"/>
      <c r="AY709" s="182"/>
      <c r="AZ709" s="182"/>
      <c r="BA709" s="182"/>
      <c r="BB709" s="182"/>
      <c r="BC709" s="182"/>
      <c r="BD709" s="182"/>
      <c r="BE709" s="182"/>
    </row>
    <row r="710" spans="3:57">
      <c r="C710" s="664">
        <v>18</v>
      </c>
      <c r="D710" s="283"/>
      <c r="E710" s="283"/>
      <c r="F710" s="283" t="e">
        <f t="shared" si="257"/>
        <v>#DIV/0!</v>
      </c>
      <c r="G710" s="283" t="e">
        <f t="shared" si="257"/>
        <v>#DIV/0!</v>
      </c>
      <c r="H710" s="283" t="e">
        <f t="shared" si="257"/>
        <v>#DIV/0!</v>
      </c>
      <c r="I710" s="283" t="e">
        <f t="shared" si="257"/>
        <v>#DIV/0!</v>
      </c>
      <c r="J710" s="283" t="e">
        <f t="shared" si="257"/>
        <v>#DIV/0!</v>
      </c>
      <c r="K710" s="283" t="e">
        <f t="shared" si="257"/>
        <v>#DIV/0!</v>
      </c>
      <c r="L710" s="283" t="e">
        <f t="shared" si="257"/>
        <v>#DIV/0!</v>
      </c>
      <c r="M710" s="283" t="e">
        <f t="shared" si="257"/>
        <v>#DIV/0!</v>
      </c>
      <c r="N710" s="283" t="e">
        <f t="shared" si="257"/>
        <v>#DIV/0!</v>
      </c>
      <c r="O710" s="283" t="e">
        <f t="shared" si="257"/>
        <v>#DIV/0!</v>
      </c>
      <c r="P710" s="283" t="e">
        <f t="shared" si="257"/>
        <v>#DIV/0!</v>
      </c>
      <c r="Q710" s="667" t="e">
        <f t="shared" si="257"/>
        <v>#DIV/0!</v>
      </c>
      <c r="R710" s="182"/>
      <c r="S710" s="182"/>
      <c r="T710" s="182"/>
      <c r="U710" s="182"/>
      <c r="V710" s="182"/>
      <c r="W710" s="182"/>
      <c r="X710" s="182"/>
      <c r="Y710" s="182"/>
      <c r="Z710" s="182"/>
      <c r="AA710" s="182"/>
      <c r="AB710" s="182"/>
      <c r="AC710" s="182"/>
      <c r="AD710" s="182"/>
      <c r="AE710" s="182"/>
      <c r="AF710" s="182"/>
      <c r="AG710" s="182"/>
      <c r="AH710" s="182"/>
      <c r="AI710" s="182"/>
      <c r="AJ710" s="182"/>
      <c r="AK710" s="182"/>
      <c r="AL710" s="182"/>
      <c r="AM710" s="182"/>
      <c r="AN710" s="182"/>
      <c r="AO710" s="182"/>
      <c r="AP710" s="182"/>
      <c r="AQ710" s="182"/>
      <c r="AR710" s="182"/>
      <c r="AS710" s="182"/>
      <c r="AT710" s="182"/>
      <c r="AU710" s="182"/>
      <c r="AV710" s="182"/>
      <c r="AW710" s="182"/>
      <c r="AX710" s="182"/>
      <c r="AY710" s="182"/>
      <c r="AZ710" s="182"/>
      <c r="BA710" s="182"/>
      <c r="BB710" s="182"/>
      <c r="BC710" s="182"/>
      <c r="BD710" s="182"/>
      <c r="BE710" s="182"/>
    </row>
    <row r="711" spans="3:57">
      <c r="C711" s="664">
        <v>19</v>
      </c>
      <c r="D711" s="283"/>
      <c r="E711" s="283"/>
      <c r="F711" s="283" t="e">
        <f t="shared" si="257"/>
        <v>#DIV/0!</v>
      </c>
      <c r="G711" s="283" t="e">
        <f t="shared" si="257"/>
        <v>#DIV/0!</v>
      </c>
      <c r="H711" s="283" t="e">
        <f t="shared" si="257"/>
        <v>#DIV/0!</v>
      </c>
      <c r="I711" s="283" t="e">
        <f t="shared" si="257"/>
        <v>#DIV/0!</v>
      </c>
      <c r="J711" s="283" t="e">
        <f t="shared" si="257"/>
        <v>#DIV/0!</v>
      </c>
      <c r="K711" s="283" t="e">
        <f t="shared" si="257"/>
        <v>#DIV/0!</v>
      </c>
      <c r="L711" s="283" t="e">
        <f t="shared" si="257"/>
        <v>#DIV/0!</v>
      </c>
      <c r="M711" s="283" t="e">
        <f t="shared" si="257"/>
        <v>#DIV/0!</v>
      </c>
      <c r="N711" s="283" t="e">
        <f t="shared" si="257"/>
        <v>#DIV/0!</v>
      </c>
      <c r="O711" s="283" t="e">
        <f t="shared" si="257"/>
        <v>#DIV/0!</v>
      </c>
      <c r="P711" s="283" t="e">
        <f t="shared" si="257"/>
        <v>#DIV/0!</v>
      </c>
      <c r="Q711" s="667" t="e">
        <f t="shared" si="257"/>
        <v>#DIV/0!</v>
      </c>
      <c r="R711" s="182"/>
      <c r="S711" s="182"/>
      <c r="T711" s="182"/>
      <c r="U711" s="182"/>
      <c r="V711" s="182"/>
      <c r="W711" s="182"/>
      <c r="X711" s="182"/>
      <c r="Y711" s="182"/>
      <c r="Z711" s="182"/>
      <c r="AA711" s="182"/>
      <c r="AB711" s="182"/>
      <c r="AC711" s="182"/>
      <c r="AD711" s="182"/>
      <c r="AE711" s="182"/>
      <c r="AF711" s="182"/>
      <c r="AG711" s="182"/>
      <c r="AH711" s="182"/>
      <c r="AI711" s="182"/>
      <c r="AJ711" s="182"/>
      <c r="AK711" s="182"/>
      <c r="AL711" s="182"/>
      <c r="AM711" s="182"/>
      <c r="AN711" s="182"/>
      <c r="AO711" s="182"/>
      <c r="AP711" s="182"/>
      <c r="AQ711" s="182"/>
      <c r="AR711" s="182"/>
      <c r="AS711" s="182"/>
      <c r="AT711" s="182"/>
      <c r="AU711" s="182"/>
      <c r="AV711" s="182"/>
      <c r="AW711" s="182"/>
      <c r="AX711" s="182"/>
      <c r="AY711" s="182"/>
      <c r="AZ711" s="182"/>
      <c r="BA711" s="182"/>
      <c r="BB711" s="182"/>
      <c r="BC711" s="182"/>
      <c r="BD711" s="182"/>
      <c r="BE711" s="182"/>
    </row>
    <row r="712" spans="3:57">
      <c r="C712" s="664">
        <v>20</v>
      </c>
      <c r="D712" s="283"/>
      <c r="E712" s="283"/>
      <c r="F712" s="283" t="e">
        <f t="shared" si="257"/>
        <v>#DIV/0!</v>
      </c>
      <c r="G712" s="283" t="e">
        <f t="shared" si="257"/>
        <v>#DIV/0!</v>
      </c>
      <c r="H712" s="283" t="e">
        <f t="shared" si="257"/>
        <v>#DIV/0!</v>
      </c>
      <c r="I712" s="283" t="e">
        <f t="shared" si="257"/>
        <v>#DIV/0!</v>
      </c>
      <c r="J712" s="283" t="e">
        <f t="shared" si="257"/>
        <v>#DIV/0!</v>
      </c>
      <c r="K712" s="283" t="e">
        <f t="shared" si="257"/>
        <v>#DIV/0!</v>
      </c>
      <c r="L712" s="283" t="e">
        <f t="shared" si="257"/>
        <v>#DIV/0!</v>
      </c>
      <c r="M712" s="283" t="e">
        <f t="shared" si="257"/>
        <v>#DIV/0!</v>
      </c>
      <c r="N712" s="283" t="e">
        <f t="shared" si="257"/>
        <v>#DIV/0!</v>
      </c>
      <c r="O712" s="283" t="e">
        <f t="shared" si="257"/>
        <v>#DIV/0!</v>
      </c>
      <c r="P712" s="283" t="e">
        <f t="shared" si="257"/>
        <v>#DIV/0!</v>
      </c>
      <c r="Q712" s="667" t="e">
        <f t="shared" si="257"/>
        <v>#DIV/0!</v>
      </c>
      <c r="R712" s="182"/>
      <c r="S712" s="182"/>
      <c r="T712" s="182"/>
      <c r="U712" s="182"/>
      <c r="V712" s="182"/>
      <c r="W712" s="182"/>
      <c r="X712" s="182"/>
      <c r="Y712" s="182"/>
      <c r="Z712" s="182"/>
      <c r="AA712" s="182"/>
      <c r="AB712" s="182"/>
      <c r="AC712" s="182"/>
      <c r="AD712" s="182"/>
      <c r="AE712" s="182"/>
      <c r="AF712" s="182"/>
      <c r="AG712" s="182"/>
      <c r="AH712" s="182"/>
      <c r="AI712" s="182"/>
      <c r="AJ712" s="182"/>
      <c r="AK712" s="182"/>
      <c r="AL712" s="182"/>
      <c r="AM712" s="182"/>
      <c r="AN712" s="182"/>
      <c r="AO712" s="182"/>
      <c r="AP712" s="182"/>
      <c r="AQ712" s="182"/>
      <c r="AR712" s="182"/>
      <c r="AS712" s="182"/>
      <c r="AT712" s="182"/>
      <c r="AU712" s="182"/>
      <c r="AV712" s="182"/>
      <c r="AW712" s="182"/>
      <c r="AX712" s="182"/>
      <c r="AY712" s="182"/>
      <c r="AZ712" s="182"/>
      <c r="BA712" s="182"/>
      <c r="BB712" s="182"/>
      <c r="BC712" s="182"/>
      <c r="BD712" s="182"/>
      <c r="BE712" s="182"/>
    </row>
    <row r="713" spans="3:57">
      <c r="C713" s="664">
        <v>21</v>
      </c>
      <c r="D713" s="283"/>
      <c r="E713" s="283"/>
      <c r="F713" s="283" t="e">
        <f t="shared" ref="F713:Q722" si="258">-F$682*F$689*HLOOKUP((F$681+$C713),$D$581:$BA$582,2,FALSE)</f>
        <v>#DIV/0!</v>
      </c>
      <c r="G713" s="283" t="e">
        <f t="shared" si="258"/>
        <v>#DIV/0!</v>
      </c>
      <c r="H713" s="283" t="e">
        <f t="shared" si="258"/>
        <v>#DIV/0!</v>
      </c>
      <c r="I713" s="283" t="e">
        <f t="shared" si="258"/>
        <v>#DIV/0!</v>
      </c>
      <c r="J713" s="283" t="e">
        <f t="shared" si="258"/>
        <v>#DIV/0!</v>
      </c>
      <c r="K713" s="283" t="e">
        <f t="shared" si="258"/>
        <v>#DIV/0!</v>
      </c>
      <c r="L713" s="283" t="e">
        <f t="shared" si="258"/>
        <v>#DIV/0!</v>
      </c>
      <c r="M713" s="283" t="e">
        <f t="shared" si="258"/>
        <v>#DIV/0!</v>
      </c>
      <c r="N713" s="283" t="e">
        <f t="shared" si="258"/>
        <v>#DIV/0!</v>
      </c>
      <c r="O713" s="283" t="e">
        <f t="shared" si="258"/>
        <v>#DIV/0!</v>
      </c>
      <c r="P713" s="283" t="e">
        <f t="shared" si="258"/>
        <v>#DIV/0!</v>
      </c>
      <c r="Q713" s="667" t="e">
        <f t="shared" si="258"/>
        <v>#DIV/0!</v>
      </c>
      <c r="R713" s="182"/>
      <c r="S713" s="182"/>
      <c r="T713" s="182"/>
      <c r="U713" s="182"/>
      <c r="V713" s="182"/>
      <c r="W713" s="182"/>
      <c r="X713" s="182"/>
      <c r="Y713" s="182"/>
      <c r="Z713" s="182"/>
      <c r="AA713" s="182"/>
      <c r="AB713" s="182"/>
      <c r="AC713" s="182"/>
      <c r="AD713" s="182"/>
      <c r="AE713" s="182"/>
      <c r="AF713" s="182"/>
      <c r="AG713" s="182"/>
      <c r="AH713" s="182"/>
      <c r="AI713" s="182"/>
      <c r="AJ713" s="182"/>
      <c r="AK713" s="182"/>
      <c r="AL713" s="182"/>
      <c r="AM713" s="182"/>
      <c r="AN713" s="182"/>
      <c r="AO713" s="182"/>
      <c r="AP713" s="182"/>
      <c r="AQ713" s="182"/>
      <c r="AR713" s="182"/>
      <c r="AS713" s="182"/>
      <c r="AT713" s="182"/>
      <c r="AU713" s="182"/>
      <c r="AV713" s="182"/>
      <c r="AW713" s="182"/>
      <c r="AX713" s="182"/>
      <c r="AY713" s="182"/>
      <c r="AZ713" s="182"/>
      <c r="BA713" s="182"/>
      <c r="BB713" s="182"/>
      <c r="BC713" s="182"/>
      <c r="BD713" s="182"/>
      <c r="BE713" s="182"/>
    </row>
    <row r="714" spans="3:57">
      <c r="C714" s="664">
        <v>22</v>
      </c>
      <c r="D714" s="283"/>
      <c r="E714" s="283"/>
      <c r="F714" s="283" t="e">
        <f t="shared" si="258"/>
        <v>#DIV/0!</v>
      </c>
      <c r="G714" s="283" t="e">
        <f t="shared" si="258"/>
        <v>#DIV/0!</v>
      </c>
      <c r="H714" s="283" t="e">
        <f t="shared" si="258"/>
        <v>#DIV/0!</v>
      </c>
      <c r="I714" s="283" t="e">
        <f t="shared" si="258"/>
        <v>#DIV/0!</v>
      </c>
      <c r="J714" s="283" t="e">
        <f t="shared" si="258"/>
        <v>#DIV/0!</v>
      </c>
      <c r="K714" s="283" t="e">
        <f t="shared" si="258"/>
        <v>#DIV/0!</v>
      </c>
      <c r="L714" s="283" t="e">
        <f t="shared" si="258"/>
        <v>#DIV/0!</v>
      </c>
      <c r="M714" s="283" t="e">
        <f t="shared" si="258"/>
        <v>#DIV/0!</v>
      </c>
      <c r="N714" s="283" t="e">
        <f t="shared" si="258"/>
        <v>#DIV/0!</v>
      </c>
      <c r="O714" s="283" t="e">
        <f t="shared" si="258"/>
        <v>#DIV/0!</v>
      </c>
      <c r="P714" s="283" t="e">
        <f t="shared" si="258"/>
        <v>#DIV/0!</v>
      </c>
      <c r="Q714" s="667" t="e">
        <f t="shared" si="258"/>
        <v>#DIV/0!</v>
      </c>
      <c r="R714" s="182"/>
      <c r="S714" s="182"/>
      <c r="T714" s="182"/>
      <c r="U714" s="182"/>
      <c r="V714" s="182"/>
      <c r="W714" s="182"/>
      <c r="X714" s="182"/>
      <c r="Y714" s="182"/>
      <c r="Z714" s="182"/>
      <c r="AA714" s="182"/>
      <c r="AB714" s="182"/>
      <c r="AC714" s="182"/>
      <c r="AD714" s="182"/>
      <c r="AE714" s="182"/>
      <c r="AF714" s="182"/>
      <c r="AG714" s="182"/>
      <c r="AH714" s="182"/>
      <c r="AI714" s="182"/>
      <c r="AJ714" s="182"/>
      <c r="AK714" s="182"/>
      <c r="AL714" s="182"/>
      <c r="AM714" s="182"/>
      <c r="AN714" s="182"/>
      <c r="AO714" s="182"/>
      <c r="AP714" s="182"/>
      <c r="AQ714" s="182"/>
      <c r="AR714" s="182"/>
      <c r="AS714" s="182"/>
      <c r="AT714" s="182"/>
      <c r="AU714" s="182"/>
      <c r="AV714" s="182"/>
      <c r="AW714" s="182"/>
      <c r="AX714" s="182"/>
      <c r="AY714" s="182"/>
      <c r="AZ714" s="182"/>
      <c r="BA714" s="182"/>
      <c r="BB714" s="182"/>
      <c r="BC714" s="182"/>
      <c r="BD714" s="182"/>
      <c r="BE714" s="182"/>
    </row>
    <row r="715" spans="3:57">
      <c r="C715" s="664">
        <v>23</v>
      </c>
      <c r="D715" s="283"/>
      <c r="E715" s="283"/>
      <c r="F715" s="283" t="e">
        <f t="shared" si="258"/>
        <v>#DIV/0!</v>
      </c>
      <c r="G715" s="283" t="e">
        <f t="shared" si="258"/>
        <v>#DIV/0!</v>
      </c>
      <c r="H715" s="283" t="e">
        <f t="shared" si="258"/>
        <v>#DIV/0!</v>
      </c>
      <c r="I715" s="283" t="e">
        <f t="shared" si="258"/>
        <v>#DIV/0!</v>
      </c>
      <c r="J715" s="283" t="e">
        <f t="shared" si="258"/>
        <v>#DIV/0!</v>
      </c>
      <c r="K715" s="283" t="e">
        <f t="shared" si="258"/>
        <v>#DIV/0!</v>
      </c>
      <c r="L715" s="283" t="e">
        <f t="shared" si="258"/>
        <v>#DIV/0!</v>
      </c>
      <c r="M715" s="283" t="e">
        <f t="shared" si="258"/>
        <v>#DIV/0!</v>
      </c>
      <c r="N715" s="283" t="e">
        <f t="shared" si="258"/>
        <v>#DIV/0!</v>
      </c>
      <c r="O715" s="283" t="e">
        <f t="shared" si="258"/>
        <v>#DIV/0!</v>
      </c>
      <c r="P715" s="283" t="e">
        <f t="shared" si="258"/>
        <v>#DIV/0!</v>
      </c>
      <c r="Q715" s="667" t="e">
        <f t="shared" si="258"/>
        <v>#DIV/0!</v>
      </c>
      <c r="R715" s="182"/>
      <c r="S715" s="182"/>
      <c r="T715" s="182"/>
      <c r="U715" s="182"/>
      <c r="V715" s="182"/>
      <c r="W715" s="182"/>
      <c r="X715" s="182"/>
      <c r="Y715" s="182"/>
      <c r="Z715" s="182"/>
      <c r="AA715" s="182"/>
      <c r="AB715" s="182"/>
      <c r="AC715" s="182"/>
      <c r="AD715" s="182"/>
      <c r="AE715" s="182"/>
      <c r="AF715" s="182"/>
      <c r="AG715" s="182"/>
      <c r="AH715" s="182"/>
      <c r="AI715" s="182"/>
      <c r="AJ715" s="182"/>
      <c r="AK715" s="182"/>
      <c r="AL715" s="182"/>
      <c r="AM715" s="182"/>
      <c r="AN715" s="182"/>
      <c r="AO715" s="182"/>
      <c r="AP715" s="182"/>
      <c r="AQ715" s="182"/>
      <c r="AR715" s="182"/>
      <c r="AS715" s="182"/>
      <c r="AT715" s="182"/>
      <c r="AU715" s="182"/>
      <c r="AV715" s="182"/>
      <c r="AW715" s="182"/>
      <c r="AX715" s="182"/>
      <c r="AY715" s="182"/>
      <c r="AZ715" s="182"/>
      <c r="BA715" s="182"/>
      <c r="BB715" s="182"/>
      <c r="BC715" s="182"/>
      <c r="BD715" s="182"/>
      <c r="BE715" s="182"/>
    </row>
    <row r="716" spans="3:57">
      <c r="C716" s="664">
        <v>24</v>
      </c>
      <c r="D716" s="283"/>
      <c r="E716" s="283"/>
      <c r="F716" s="283" t="e">
        <f t="shared" si="258"/>
        <v>#DIV/0!</v>
      </c>
      <c r="G716" s="283" t="e">
        <f t="shared" si="258"/>
        <v>#DIV/0!</v>
      </c>
      <c r="H716" s="283" t="e">
        <f t="shared" si="258"/>
        <v>#DIV/0!</v>
      </c>
      <c r="I716" s="283" t="e">
        <f t="shared" si="258"/>
        <v>#DIV/0!</v>
      </c>
      <c r="J716" s="283" t="e">
        <f t="shared" si="258"/>
        <v>#DIV/0!</v>
      </c>
      <c r="K716" s="283" t="e">
        <f t="shared" si="258"/>
        <v>#DIV/0!</v>
      </c>
      <c r="L716" s="283" t="e">
        <f t="shared" si="258"/>
        <v>#DIV/0!</v>
      </c>
      <c r="M716" s="283" t="e">
        <f t="shared" si="258"/>
        <v>#DIV/0!</v>
      </c>
      <c r="N716" s="283" t="e">
        <f t="shared" si="258"/>
        <v>#DIV/0!</v>
      </c>
      <c r="O716" s="283" t="e">
        <f t="shared" si="258"/>
        <v>#DIV/0!</v>
      </c>
      <c r="P716" s="283" t="e">
        <f t="shared" si="258"/>
        <v>#DIV/0!</v>
      </c>
      <c r="Q716" s="667" t="e">
        <f t="shared" si="258"/>
        <v>#DIV/0!</v>
      </c>
      <c r="R716" s="182"/>
      <c r="S716" s="182"/>
      <c r="T716" s="182"/>
      <c r="U716" s="182"/>
      <c r="V716" s="182"/>
      <c r="W716" s="182"/>
      <c r="X716" s="182"/>
      <c r="Y716" s="182"/>
      <c r="Z716" s="182"/>
      <c r="AA716" s="182"/>
      <c r="AB716" s="182"/>
      <c r="AC716" s="182"/>
      <c r="AD716" s="182"/>
      <c r="AE716" s="182"/>
      <c r="AF716" s="182"/>
      <c r="AG716" s="182"/>
      <c r="AH716" s="182"/>
      <c r="AI716" s="182"/>
      <c r="AJ716" s="182"/>
      <c r="AK716" s="182"/>
      <c r="AL716" s="182"/>
      <c r="AM716" s="182"/>
      <c r="AN716" s="182"/>
      <c r="AO716" s="182"/>
      <c r="AP716" s="182"/>
      <c r="AQ716" s="182"/>
      <c r="AR716" s="182"/>
      <c r="AS716" s="182"/>
      <c r="AT716" s="182"/>
      <c r="AU716" s="182"/>
      <c r="AV716" s="182"/>
      <c r="AW716" s="182"/>
      <c r="AX716" s="182"/>
      <c r="AY716" s="182"/>
      <c r="AZ716" s="182"/>
      <c r="BA716" s="182"/>
      <c r="BB716" s="182"/>
      <c r="BC716" s="182"/>
      <c r="BD716" s="182"/>
      <c r="BE716" s="182"/>
    </row>
    <row r="717" spans="3:57">
      <c r="C717" s="664">
        <v>25</v>
      </c>
      <c r="D717" s="283"/>
      <c r="E717" s="283"/>
      <c r="F717" s="283" t="e">
        <f t="shared" si="258"/>
        <v>#DIV/0!</v>
      </c>
      <c r="G717" s="283" t="e">
        <f t="shared" si="258"/>
        <v>#DIV/0!</v>
      </c>
      <c r="H717" s="283" t="e">
        <f t="shared" si="258"/>
        <v>#DIV/0!</v>
      </c>
      <c r="I717" s="283" t="e">
        <f t="shared" si="258"/>
        <v>#DIV/0!</v>
      </c>
      <c r="J717" s="283" t="e">
        <f t="shared" si="258"/>
        <v>#DIV/0!</v>
      </c>
      <c r="K717" s="283" t="e">
        <f t="shared" si="258"/>
        <v>#DIV/0!</v>
      </c>
      <c r="L717" s="283" t="e">
        <f t="shared" si="258"/>
        <v>#DIV/0!</v>
      </c>
      <c r="M717" s="283" t="e">
        <f t="shared" si="258"/>
        <v>#DIV/0!</v>
      </c>
      <c r="N717" s="283" t="e">
        <f t="shared" si="258"/>
        <v>#DIV/0!</v>
      </c>
      <c r="O717" s="283" t="e">
        <f t="shared" si="258"/>
        <v>#DIV/0!</v>
      </c>
      <c r="P717" s="283" t="e">
        <f t="shared" si="258"/>
        <v>#DIV/0!</v>
      </c>
      <c r="Q717" s="667" t="e">
        <f t="shared" si="258"/>
        <v>#DIV/0!</v>
      </c>
      <c r="R717" s="182"/>
      <c r="S717" s="182"/>
      <c r="T717" s="182"/>
      <c r="U717" s="182"/>
      <c r="V717" s="182"/>
      <c r="W717" s="182"/>
      <c r="X717" s="182"/>
      <c r="Y717" s="182"/>
      <c r="Z717" s="182"/>
      <c r="AA717" s="182"/>
      <c r="AB717" s="182"/>
      <c r="AC717" s="182"/>
      <c r="AD717" s="182"/>
      <c r="AE717" s="182"/>
      <c r="AF717" s="182"/>
      <c r="AG717" s="182"/>
      <c r="AH717" s="182"/>
      <c r="AI717" s="182"/>
      <c r="AJ717" s="182"/>
      <c r="AK717" s="182"/>
      <c r="AL717" s="182"/>
      <c r="AM717" s="182"/>
      <c r="AN717" s="182"/>
      <c r="AO717" s="182"/>
      <c r="AP717" s="182"/>
      <c r="AQ717" s="182"/>
      <c r="AR717" s="182"/>
      <c r="AS717" s="182"/>
      <c r="AT717" s="182"/>
      <c r="AU717" s="182"/>
      <c r="AV717" s="182"/>
      <c r="AW717" s="182"/>
      <c r="AX717" s="182"/>
      <c r="AY717" s="182"/>
      <c r="AZ717" s="182"/>
      <c r="BA717" s="182"/>
      <c r="BB717" s="182"/>
      <c r="BC717" s="182"/>
      <c r="BD717" s="182"/>
      <c r="BE717" s="182"/>
    </row>
    <row r="718" spans="3:57">
      <c r="C718" s="664">
        <v>26</v>
      </c>
      <c r="D718" s="283"/>
      <c r="E718" s="283"/>
      <c r="F718" s="283" t="e">
        <f t="shared" si="258"/>
        <v>#DIV/0!</v>
      </c>
      <c r="G718" s="283" t="e">
        <f t="shared" si="258"/>
        <v>#DIV/0!</v>
      </c>
      <c r="H718" s="283" t="e">
        <f t="shared" si="258"/>
        <v>#DIV/0!</v>
      </c>
      <c r="I718" s="283" t="e">
        <f t="shared" si="258"/>
        <v>#DIV/0!</v>
      </c>
      <c r="J718" s="283" t="e">
        <f t="shared" si="258"/>
        <v>#DIV/0!</v>
      </c>
      <c r="K718" s="283" t="e">
        <f t="shared" si="258"/>
        <v>#DIV/0!</v>
      </c>
      <c r="L718" s="283" t="e">
        <f t="shared" si="258"/>
        <v>#DIV/0!</v>
      </c>
      <c r="M718" s="283" t="e">
        <f t="shared" si="258"/>
        <v>#DIV/0!</v>
      </c>
      <c r="N718" s="283" t="e">
        <f t="shared" si="258"/>
        <v>#DIV/0!</v>
      </c>
      <c r="O718" s="283" t="e">
        <f t="shared" si="258"/>
        <v>#DIV/0!</v>
      </c>
      <c r="P718" s="283" t="e">
        <f t="shared" si="258"/>
        <v>#DIV/0!</v>
      </c>
      <c r="Q718" s="667" t="e">
        <f t="shared" si="258"/>
        <v>#DIV/0!</v>
      </c>
      <c r="R718" s="182"/>
      <c r="S718" s="182"/>
      <c r="T718" s="182"/>
      <c r="U718" s="182"/>
      <c r="V718" s="182"/>
      <c r="W718" s="182"/>
      <c r="X718" s="182"/>
      <c r="Y718" s="182"/>
      <c r="Z718" s="182"/>
      <c r="AA718" s="182"/>
      <c r="AB718" s="182"/>
      <c r="AC718" s="182"/>
      <c r="AD718" s="182"/>
      <c r="AE718" s="182"/>
      <c r="AF718" s="182"/>
      <c r="AG718" s="182"/>
      <c r="AH718" s="182"/>
      <c r="AI718" s="182"/>
      <c r="AJ718" s="182"/>
      <c r="AK718" s="182"/>
      <c r="AL718" s="182"/>
      <c r="AM718" s="182"/>
      <c r="AN718" s="182"/>
      <c r="AO718" s="182"/>
      <c r="AP718" s="182"/>
      <c r="AQ718" s="182"/>
      <c r="AR718" s="182"/>
      <c r="AS718" s="182"/>
      <c r="AT718" s="182"/>
      <c r="AU718" s="182"/>
      <c r="AV718" s="182"/>
      <c r="AW718" s="182"/>
      <c r="AX718" s="182"/>
      <c r="AY718" s="182"/>
      <c r="AZ718" s="182"/>
      <c r="BA718" s="182"/>
      <c r="BB718" s="182"/>
      <c r="BC718" s="182"/>
      <c r="BD718" s="182"/>
      <c r="BE718" s="182"/>
    </row>
    <row r="719" spans="3:57">
      <c r="C719" s="664">
        <v>27</v>
      </c>
      <c r="D719" s="283"/>
      <c r="E719" s="283"/>
      <c r="F719" s="283" t="e">
        <f t="shared" si="258"/>
        <v>#DIV/0!</v>
      </c>
      <c r="G719" s="283" t="e">
        <f t="shared" si="258"/>
        <v>#DIV/0!</v>
      </c>
      <c r="H719" s="283" t="e">
        <f t="shared" si="258"/>
        <v>#DIV/0!</v>
      </c>
      <c r="I719" s="283" t="e">
        <f t="shared" si="258"/>
        <v>#DIV/0!</v>
      </c>
      <c r="J719" s="283" t="e">
        <f t="shared" si="258"/>
        <v>#DIV/0!</v>
      </c>
      <c r="K719" s="283" t="e">
        <f t="shared" si="258"/>
        <v>#DIV/0!</v>
      </c>
      <c r="L719" s="283" t="e">
        <f t="shared" si="258"/>
        <v>#DIV/0!</v>
      </c>
      <c r="M719" s="283" t="e">
        <f t="shared" si="258"/>
        <v>#DIV/0!</v>
      </c>
      <c r="N719" s="283" t="e">
        <f t="shared" si="258"/>
        <v>#DIV/0!</v>
      </c>
      <c r="O719" s="283" t="e">
        <f t="shared" si="258"/>
        <v>#DIV/0!</v>
      </c>
      <c r="P719" s="283" t="e">
        <f t="shared" si="258"/>
        <v>#DIV/0!</v>
      </c>
      <c r="Q719" s="667" t="e">
        <f t="shared" si="258"/>
        <v>#DIV/0!</v>
      </c>
      <c r="R719" s="182"/>
      <c r="S719" s="182"/>
      <c r="T719" s="182"/>
      <c r="U719" s="182"/>
      <c r="V719" s="182"/>
      <c r="W719" s="182"/>
      <c r="X719" s="182"/>
      <c r="Y719" s="182"/>
      <c r="Z719" s="182"/>
      <c r="AA719" s="182"/>
      <c r="AB719" s="182"/>
      <c r="AC719" s="182"/>
      <c r="AD719" s="182"/>
      <c r="AE719" s="182"/>
      <c r="AF719" s="182"/>
      <c r="AG719" s="182"/>
      <c r="AH719" s="182"/>
      <c r="AI719" s="182"/>
      <c r="AJ719" s="182"/>
      <c r="AK719" s="182"/>
      <c r="AL719" s="182"/>
      <c r="AM719" s="182"/>
      <c r="AN719" s="182"/>
      <c r="AO719" s="182"/>
      <c r="AP719" s="182"/>
      <c r="AQ719" s="182"/>
      <c r="AR719" s="182"/>
      <c r="AS719" s="182"/>
      <c r="AT719" s="182"/>
      <c r="AU719" s="182"/>
      <c r="AV719" s="182"/>
      <c r="AW719" s="182"/>
      <c r="AX719" s="182"/>
      <c r="AY719" s="182"/>
      <c r="AZ719" s="182"/>
      <c r="BA719" s="182"/>
      <c r="BB719" s="182"/>
      <c r="BC719" s="182"/>
      <c r="BD719" s="182"/>
      <c r="BE719" s="182"/>
    </row>
    <row r="720" spans="3:57">
      <c r="C720" s="664">
        <v>28</v>
      </c>
      <c r="D720" s="283"/>
      <c r="E720" s="283"/>
      <c r="F720" s="283" t="e">
        <f t="shared" si="258"/>
        <v>#DIV/0!</v>
      </c>
      <c r="G720" s="283" t="e">
        <f t="shared" si="258"/>
        <v>#DIV/0!</v>
      </c>
      <c r="H720" s="283" t="e">
        <f t="shared" si="258"/>
        <v>#DIV/0!</v>
      </c>
      <c r="I720" s="283" t="e">
        <f t="shared" si="258"/>
        <v>#DIV/0!</v>
      </c>
      <c r="J720" s="283" t="e">
        <f t="shared" si="258"/>
        <v>#DIV/0!</v>
      </c>
      <c r="K720" s="283" t="e">
        <f t="shared" si="258"/>
        <v>#DIV/0!</v>
      </c>
      <c r="L720" s="283" t="e">
        <f t="shared" si="258"/>
        <v>#DIV/0!</v>
      </c>
      <c r="M720" s="283" t="e">
        <f t="shared" si="258"/>
        <v>#DIV/0!</v>
      </c>
      <c r="N720" s="283" t="e">
        <f t="shared" si="258"/>
        <v>#DIV/0!</v>
      </c>
      <c r="O720" s="283" t="e">
        <f t="shared" si="258"/>
        <v>#DIV/0!</v>
      </c>
      <c r="P720" s="283" t="e">
        <f t="shared" si="258"/>
        <v>#DIV/0!</v>
      </c>
      <c r="Q720" s="667" t="e">
        <f t="shared" si="258"/>
        <v>#DIV/0!</v>
      </c>
      <c r="R720" s="182"/>
      <c r="S720" s="182"/>
      <c r="T720" s="182"/>
      <c r="U720" s="182"/>
      <c r="V720" s="182"/>
      <c r="W720" s="182"/>
      <c r="X720" s="182"/>
      <c r="Y720" s="182"/>
      <c r="Z720" s="182"/>
      <c r="AA720" s="182"/>
      <c r="AB720" s="182"/>
      <c r="AC720" s="182"/>
      <c r="AD720" s="182"/>
      <c r="AE720" s="182"/>
      <c r="AF720" s="182"/>
      <c r="AG720" s="182"/>
      <c r="AH720" s="182"/>
      <c r="AI720" s="182"/>
      <c r="AJ720" s="182"/>
      <c r="AK720" s="182"/>
      <c r="AL720" s="182"/>
      <c r="AM720" s="182"/>
      <c r="AN720" s="182"/>
      <c r="AO720" s="182"/>
      <c r="AP720" s="182"/>
      <c r="AQ720" s="182"/>
      <c r="AR720" s="182"/>
      <c r="AS720" s="182"/>
      <c r="AT720" s="182"/>
      <c r="AU720" s="182"/>
      <c r="AV720" s="182"/>
      <c r="AW720" s="182"/>
      <c r="AX720" s="182"/>
      <c r="AY720" s="182"/>
      <c r="AZ720" s="182"/>
      <c r="BA720" s="182"/>
      <c r="BB720" s="182"/>
      <c r="BC720" s="182"/>
      <c r="BD720" s="182"/>
      <c r="BE720" s="182"/>
    </row>
    <row r="721" spans="1:57">
      <c r="C721" s="664">
        <v>29</v>
      </c>
      <c r="D721" s="283"/>
      <c r="E721" s="283"/>
      <c r="F721" s="283" t="e">
        <f t="shared" si="258"/>
        <v>#DIV/0!</v>
      </c>
      <c r="G721" s="283" t="e">
        <f t="shared" si="258"/>
        <v>#DIV/0!</v>
      </c>
      <c r="H721" s="283" t="e">
        <f t="shared" si="258"/>
        <v>#DIV/0!</v>
      </c>
      <c r="I721" s="283" t="e">
        <f t="shared" si="258"/>
        <v>#DIV/0!</v>
      </c>
      <c r="J721" s="283" t="e">
        <f t="shared" si="258"/>
        <v>#DIV/0!</v>
      </c>
      <c r="K721" s="283" t="e">
        <f t="shared" si="258"/>
        <v>#DIV/0!</v>
      </c>
      <c r="L721" s="283" t="e">
        <f t="shared" si="258"/>
        <v>#DIV/0!</v>
      </c>
      <c r="M721" s="283" t="e">
        <f t="shared" si="258"/>
        <v>#DIV/0!</v>
      </c>
      <c r="N721" s="283" t="e">
        <f t="shared" si="258"/>
        <v>#DIV/0!</v>
      </c>
      <c r="O721" s="283" t="e">
        <f t="shared" si="258"/>
        <v>#DIV/0!</v>
      </c>
      <c r="P721" s="283" t="e">
        <f t="shared" si="258"/>
        <v>#DIV/0!</v>
      </c>
      <c r="Q721" s="667" t="e">
        <f t="shared" si="258"/>
        <v>#DIV/0!</v>
      </c>
      <c r="R721" s="182"/>
      <c r="S721" s="182"/>
      <c r="T721" s="182"/>
      <c r="U721" s="182"/>
      <c r="V721" s="182"/>
      <c r="W721" s="182"/>
      <c r="X721" s="182"/>
      <c r="Y721" s="182"/>
      <c r="Z721" s="182"/>
      <c r="AA721" s="182"/>
      <c r="AB721" s="182"/>
      <c r="AC721" s="182"/>
      <c r="AD721" s="182"/>
      <c r="AE721" s="182"/>
      <c r="AF721" s="182"/>
      <c r="AG721" s="182"/>
      <c r="AH721" s="182"/>
      <c r="AI721" s="182"/>
      <c r="AJ721" s="182"/>
      <c r="AK721" s="182"/>
      <c r="AL721" s="182"/>
      <c r="AM721" s="182"/>
      <c r="AN721" s="182"/>
      <c r="AO721" s="182"/>
      <c r="AP721" s="182"/>
      <c r="AQ721" s="182"/>
      <c r="AR721" s="182"/>
      <c r="AS721" s="182"/>
      <c r="AT721" s="182"/>
      <c r="AU721" s="182"/>
      <c r="AV721" s="182"/>
      <c r="AW721" s="182"/>
      <c r="AX721" s="182"/>
      <c r="AY721" s="182"/>
      <c r="AZ721" s="182"/>
      <c r="BA721" s="182"/>
      <c r="BB721" s="182"/>
      <c r="BC721" s="182"/>
      <c r="BD721" s="182"/>
      <c r="BE721" s="182"/>
    </row>
    <row r="722" spans="1:57">
      <c r="C722" s="664">
        <v>30</v>
      </c>
      <c r="D722" s="283"/>
      <c r="E722" s="283"/>
      <c r="F722" s="283" t="e">
        <f t="shared" si="258"/>
        <v>#DIV/0!</v>
      </c>
      <c r="G722" s="283" t="e">
        <f t="shared" si="258"/>
        <v>#DIV/0!</v>
      </c>
      <c r="H722" s="283" t="e">
        <f t="shared" si="258"/>
        <v>#DIV/0!</v>
      </c>
      <c r="I722" s="283" t="e">
        <f t="shared" si="258"/>
        <v>#DIV/0!</v>
      </c>
      <c r="J722" s="283" t="e">
        <f t="shared" si="258"/>
        <v>#DIV/0!</v>
      </c>
      <c r="K722" s="283" t="e">
        <f t="shared" si="258"/>
        <v>#DIV/0!</v>
      </c>
      <c r="L722" s="283" t="e">
        <f t="shared" si="258"/>
        <v>#DIV/0!</v>
      </c>
      <c r="M722" s="283" t="e">
        <f t="shared" si="258"/>
        <v>#DIV/0!</v>
      </c>
      <c r="N722" s="283" t="e">
        <f t="shared" si="258"/>
        <v>#DIV/0!</v>
      </c>
      <c r="O722" s="283" t="e">
        <f t="shared" si="258"/>
        <v>#DIV/0!</v>
      </c>
      <c r="P722" s="283" t="e">
        <f t="shared" si="258"/>
        <v>#DIV/0!</v>
      </c>
      <c r="Q722" s="667" t="e">
        <f t="shared" si="258"/>
        <v>#DIV/0!</v>
      </c>
      <c r="R722" s="182"/>
      <c r="S722" s="182"/>
      <c r="T722" s="182"/>
      <c r="U722" s="182"/>
      <c r="V722" s="182"/>
      <c r="W722" s="182"/>
      <c r="X722" s="182"/>
      <c r="Y722" s="182"/>
      <c r="Z722" s="182"/>
      <c r="AA722" s="182"/>
      <c r="AB722" s="182"/>
      <c r="AC722" s="182"/>
      <c r="AD722" s="182"/>
      <c r="AE722" s="182"/>
      <c r="AF722" s="182"/>
      <c r="AG722" s="182"/>
      <c r="AH722" s="182"/>
      <c r="AI722" s="182"/>
      <c r="AJ722" s="182"/>
      <c r="AK722" s="182"/>
      <c r="AL722" s="182"/>
      <c r="AM722" s="182"/>
      <c r="AN722" s="182"/>
      <c r="AO722" s="182"/>
      <c r="AP722" s="182"/>
      <c r="AQ722" s="182"/>
      <c r="AR722" s="182"/>
      <c r="AS722" s="182"/>
      <c r="AT722" s="182"/>
      <c r="AU722" s="182"/>
      <c r="AV722" s="182"/>
      <c r="AW722" s="182"/>
      <c r="AX722" s="182"/>
      <c r="AY722" s="182"/>
      <c r="AZ722" s="182"/>
      <c r="BA722" s="182"/>
      <c r="BB722" s="182"/>
      <c r="BC722" s="182"/>
      <c r="BD722" s="182"/>
      <c r="BE722" s="182"/>
    </row>
    <row r="723" spans="1:57">
      <c r="C723" s="664"/>
      <c r="D723" s="283"/>
      <c r="E723" s="283"/>
      <c r="F723" s="283"/>
      <c r="G723" s="283"/>
      <c r="H723" s="283"/>
      <c r="I723" s="283"/>
      <c r="J723" s="283"/>
      <c r="K723" s="283"/>
      <c r="L723" s="283"/>
      <c r="M723" s="283"/>
      <c r="N723" s="283"/>
      <c r="O723" s="283"/>
      <c r="P723" s="283"/>
      <c r="Q723" s="667"/>
      <c r="R723" s="182"/>
      <c r="S723" s="182"/>
      <c r="T723" s="182"/>
      <c r="U723" s="182"/>
      <c r="V723" s="182"/>
      <c r="W723" s="182"/>
      <c r="X723" s="182"/>
      <c r="Y723" s="182"/>
      <c r="Z723" s="182"/>
      <c r="AA723" s="182"/>
      <c r="AB723" s="182"/>
      <c r="AC723" s="182"/>
      <c r="AD723" s="182"/>
      <c r="AE723" s="182"/>
      <c r="AF723" s="182"/>
      <c r="AG723" s="182"/>
      <c r="AH723" s="182"/>
      <c r="AI723" s="182"/>
      <c r="AJ723" s="182"/>
      <c r="AK723" s="182"/>
      <c r="AL723" s="182"/>
      <c r="AM723" s="182"/>
      <c r="AN723" s="182"/>
      <c r="AO723" s="182"/>
      <c r="AP723" s="182"/>
      <c r="AQ723" s="182"/>
      <c r="AR723" s="182"/>
      <c r="AS723" s="182"/>
      <c r="AT723" s="182"/>
      <c r="AU723" s="182"/>
      <c r="AV723" s="182"/>
      <c r="AW723" s="182"/>
      <c r="AX723" s="182"/>
      <c r="AY723" s="182"/>
      <c r="AZ723" s="182"/>
      <c r="BA723" s="182"/>
      <c r="BB723" s="182"/>
      <c r="BC723" s="182"/>
      <c r="BD723" s="182"/>
      <c r="BE723" s="182"/>
    </row>
    <row r="724" spans="1:57" ht="16">
      <c r="C724" s="664" t="s">
        <v>173</v>
      </c>
      <c r="D724" s="283"/>
      <c r="E724" s="283"/>
      <c r="F724" s="283">
        <f>E693+D694</f>
        <v>0</v>
      </c>
      <c r="G724" s="283" t="e">
        <f>F693+E694+D695</f>
        <v>#DIV/0!</v>
      </c>
      <c r="H724" s="283" t="e">
        <f>G693+F694+E695+D696</f>
        <v>#DIV/0!</v>
      </c>
      <c r="I724" s="283" t="e">
        <f>H693+G694+F695+E696+D697</f>
        <v>#DIV/0!</v>
      </c>
      <c r="J724" s="283" t="e">
        <f>I693+H694+G695+F696+E697+D698</f>
        <v>#DIV/0!</v>
      </c>
      <c r="K724" s="283" t="e">
        <f>J693+I694+H695+G696+F697+E698+D699</f>
        <v>#DIV/0!</v>
      </c>
      <c r="L724" s="283" t="e">
        <f>K693+J694+I695+H696+G697+F698+E699+D700</f>
        <v>#DIV/0!</v>
      </c>
      <c r="M724" s="283" t="e">
        <f>L693+K694+J695+I696+H697+G698+F699+E700+D701</f>
        <v>#DIV/0!</v>
      </c>
      <c r="N724" s="283" t="e">
        <f>M693+L694+K695+J696+I697+H698+G699+F700+E701+D702</f>
        <v>#DIV/0!</v>
      </c>
      <c r="O724" s="283" t="e">
        <f>N693+M694+L695+K696+J697+I698+H699+G700+F701+E702+D703</f>
        <v>#DIV/0!</v>
      </c>
      <c r="P724" s="283" t="e">
        <f>O693+N694+M695+L696+K697+J698+I699+H700+G701+F702+E703</f>
        <v>#DIV/0!</v>
      </c>
      <c r="Q724" s="667" t="e">
        <f>P693+O694+N695+M696+L697+K698+J699+I700+H701+G702+F703</f>
        <v>#DIV/0!</v>
      </c>
      <c r="R724" s="283"/>
      <c r="S724" s="283"/>
      <c r="T724" s="182"/>
      <c r="U724" s="182"/>
      <c r="V724" s="182"/>
      <c r="W724" s="182"/>
      <c r="X724" s="182"/>
      <c r="Y724" s="182"/>
      <c r="Z724" s="182"/>
      <c r="AA724" s="182"/>
      <c r="AB724" s="182"/>
      <c r="AC724" s="182"/>
      <c r="AD724" s="182"/>
      <c r="AE724" s="182"/>
      <c r="AF724" s="182"/>
      <c r="AG724" s="182"/>
      <c r="AH724" s="182"/>
      <c r="AI724" s="182"/>
      <c r="AJ724" s="182"/>
      <c r="AK724" s="182"/>
      <c r="AL724" s="182"/>
      <c r="AM724" s="182"/>
      <c r="AN724" s="182"/>
      <c r="AO724" s="182"/>
      <c r="AP724" s="182"/>
      <c r="AQ724" s="182"/>
      <c r="AR724" s="182"/>
      <c r="AS724" s="182"/>
      <c r="AT724" s="182"/>
      <c r="AU724" s="182"/>
      <c r="AV724" s="182"/>
      <c r="AW724" s="182"/>
      <c r="AX724" s="182"/>
      <c r="AY724" s="182"/>
      <c r="AZ724" s="182"/>
      <c r="BA724" s="182"/>
      <c r="BB724" s="182"/>
      <c r="BC724" s="182"/>
      <c r="BD724" s="182"/>
      <c r="BE724" s="182"/>
    </row>
    <row r="725" spans="1:57">
      <c r="C725" s="704"/>
      <c r="D725" s="705"/>
      <c r="E725" s="705"/>
      <c r="F725" s="705"/>
      <c r="G725" s="705"/>
      <c r="H725" s="705"/>
      <c r="I725" s="705"/>
      <c r="J725" s="705"/>
      <c r="K725" s="705"/>
      <c r="L725" s="705"/>
      <c r="M725" s="705"/>
      <c r="N725" s="705"/>
      <c r="O725" s="705"/>
      <c r="P725" s="705"/>
      <c r="Q725" s="706"/>
      <c r="R725" s="283"/>
      <c r="S725" s="283"/>
      <c r="T725" s="182"/>
      <c r="U725" s="182"/>
      <c r="V725" s="182"/>
      <c r="W725" s="182"/>
      <c r="X725" s="182"/>
      <c r="Y725" s="182"/>
      <c r="Z725" s="182"/>
      <c r="AA725" s="182"/>
      <c r="AB725" s="182"/>
      <c r="AC725" s="182"/>
      <c r="AD725" s="182"/>
      <c r="AE725" s="182"/>
      <c r="AF725" s="182"/>
      <c r="AG725" s="182"/>
      <c r="AH725" s="182"/>
      <c r="AI725" s="182"/>
      <c r="AJ725" s="182"/>
      <c r="AK725" s="182"/>
      <c r="AL725" s="182"/>
      <c r="AM725" s="182"/>
      <c r="AN725" s="182"/>
      <c r="AO725" s="182"/>
      <c r="AP725" s="182"/>
      <c r="AQ725" s="182"/>
      <c r="AR725" s="182"/>
      <c r="AS725" s="182"/>
      <c r="AT725" s="182"/>
      <c r="AU725" s="182"/>
      <c r="AV725" s="182"/>
      <c r="AW725" s="182"/>
      <c r="AX725" s="182"/>
      <c r="AY725" s="182"/>
      <c r="AZ725" s="182"/>
      <c r="BA725" s="182"/>
      <c r="BB725" s="182"/>
      <c r="BC725" s="182"/>
      <c r="BD725" s="182"/>
      <c r="BE725" s="182"/>
    </row>
    <row r="726" spans="1:57">
      <c r="C726" s="323"/>
      <c r="D726" s="182"/>
      <c r="E726" s="182"/>
      <c r="F726" s="182"/>
      <c r="G726" s="182"/>
      <c r="H726" s="182"/>
      <c r="I726" s="182"/>
      <c r="J726" s="182"/>
      <c r="K726" s="182"/>
      <c r="L726" s="182"/>
      <c r="M726" s="182"/>
      <c r="N726" s="182"/>
      <c r="O726" s="182"/>
      <c r="P726" s="182"/>
      <c r="Q726" s="182"/>
      <c r="R726" s="182"/>
      <c r="S726" s="182"/>
      <c r="T726" s="182"/>
      <c r="U726" s="182"/>
      <c r="V726" s="182"/>
      <c r="W726" s="182"/>
      <c r="X726" s="182"/>
      <c r="Y726" s="182"/>
      <c r="Z726" s="182"/>
      <c r="AA726" s="182"/>
      <c r="AB726" s="182"/>
      <c r="AC726" s="182"/>
      <c r="AD726" s="182"/>
      <c r="AE726" s="182"/>
      <c r="AF726" s="182"/>
      <c r="AG726" s="182"/>
      <c r="AH726" s="182"/>
      <c r="AI726" s="182"/>
      <c r="AJ726" s="182"/>
      <c r="AK726" s="182"/>
      <c r="AL726" s="182"/>
      <c r="AM726" s="182"/>
      <c r="AN726" s="182"/>
      <c r="AO726" s="182"/>
      <c r="AP726" s="182"/>
      <c r="AQ726" s="182"/>
      <c r="AR726" s="182"/>
      <c r="AS726" s="182"/>
      <c r="AT726" s="182"/>
      <c r="AU726" s="182"/>
      <c r="AV726" s="182"/>
      <c r="AW726" s="182"/>
      <c r="AX726" s="182"/>
      <c r="AY726" s="182"/>
      <c r="AZ726" s="182"/>
      <c r="BA726" s="182"/>
      <c r="BB726" s="182"/>
      <c r="BC726" s="182"/>
      <c r="BD726" s="182"/>
      <c r="BE726" s="182"/>
    </row>
    <row r="727" spans="1:57" ht="18">
      <c r="A727" s="189" t="s">
        <v>372</v>
      </c>
    </row>
    <row r="729" spans="1:57">
      <c r="A729" s="788" t="s">
        <v>216</v>
      </c>
      <c r="B729" s="788"/>
      <c r="C729" s="788"/>
      <c r="D729" s="337">
        <v>2022</v>
      </c>
      <c r="E729" s="337">
        <v>2023</v>
      </c>
      <c r="F729" s="337">
        <v>2024</v>
      </c>
      <c r="G729" s="337">
        <v>2025</v>
      </c>
      <c r="H729" s="337">
        <v>2026</v>
      </c>
      <c r="I729" s="337">
        <v>2027</v>
      </c>
      <c r="J729" s="337">
        <v>2028</v>
      </c>
      <c r="K729" s="337">
        <v>2029</v>
      </c>
      <c r="L729" s="337">
        <v>2030</v>
      </c>
      <c r="M729" s="337">
        <v>2031</v>
      </c>
      <c r="N729" s="337">
        <v>2032</v>
      </c>
      <c r="O729" s="337">
        <v>2033</v>
      </c>
      <c r="P729" s="337">
        <v>2034</v>
      </c>
      <c r="Q729" s="731">
        <v>2035</v>
      </c>
    </row>
    <row r="730" spans="1:57" ht="16">
      <c r="A730" s="808" t="s">
        <v>217</v>
      </c>
      <c r="B730" s="799" t="s">
        <v>218</v>
      </c>
      <c r="C730" s="338" t="s">
        <v>42</v>
      </c>
      <c r="D730" s="339"/>
      <c r="E730" s="339"/>
      <c r="F730" s="339">
        <f t="shared" ref="F730:Q730" si="259">F731+F732</f>
        <v>0</v>
      </c>
      <c r="G730" s="339" t="e">
        <f t="shared" si="259"/>
        <v>#DIV/0!</v>
      </c>
      <c r="H730" s="339" t="e">
        <f t="shared" si="259"/>
        <v>#DIV/0!</v>
      </c>
      <c r="I730" s="339" t="e">
        <f t="shared" si="259"/>
        <v>#DIV/0!</v>
      </c>
      <c r="J730" s="339" t="e">
        <f t="shared" si="259"/>
        <v>#DIV/0!</v>
      </c>
      <c r="K730" s="339" t="e">
        <f t="shared" si="259"/>
        <v>#DIV/0!</v>
      </c>
      <c r="L730" s="339" t="e">
        <f t="shared" si="259"/>
        <v>#DIV/0!</v>
      </c>
      <c r="M730" s="339" t="e">
        <f t="shared" si="259"/>
        <v>#DIV/0!</v>
      </c>
      <c r="N730" s="339" t="e">
        <f t="shared" si="259"/>
        <v>#DIV/0!</v>
      </c>
      <c r="O730" s="339" t="e">
        <f t="shared" si="259"/>
        <v>#DIV/0!</v>
      </c>
      <c r="P730" s="339" t="e">
        <f t="shared" si="259"/>
        <v>#DIV/0!</v>
      </c>
      <c r="Q730" s="732" t="e">
        <f t="shared" si="259"/>
        <v>#DIV/0!</v>
      </c>
    </row>
    <row r="731" spans="1:57">
      <c r="A731" s="809"/>
      <c r="B731" s="800"/>
      <c r="C731" s="182" t="s">
        <v>219</v>
      </c>
      <c r="D731" s="283"/>
      <c r="E731" s="283"/>
      <c r="F731" s="283">
        <f>+'Deuda a emitir'!F164-F737</f>
        <v>0</v>
      </c>
      <c r="G731" s="283" t="e">
        <f>+'Deuda a emitir'!G164-G737</f>
        <v>#DIV/0!</v>
      </c>
      <c r="H731" s="283" t="e">
        <f>+'Deuda a emitir'!H164-H737</f>
        <v>#DIV/0!</v>
      </c>
      <c r="I731" s="283" t="e">
        <f>+'Deuda a emitir'!I164-I737</f>
        <v>#DIV/0!</v>
      </c>
      <c r="J731" s="283" t="e">
        <f>+'Deuda a emitir'!J164-J737</f>
        <v>#DIV/0!</v>
      </c>
      <c r="K731" s="283" t="e">
        <f>+'Deuda a emitir'!K164-K737</f>
        <v>#DIV/0!</v>
      </c>
      <c r="L731" s="283" t="e">
        <f>+'Deuda a emitir'!L164-L737</f>
        <v>#DIV/0!</v>
      </c>
      <c r="M731" s="283" t="e">
        <f>+'Deuda a emitir'!M164-M737</f>
        <v>#DIV/0!</v>
      </c>
      <c r="N731" s="283" t="e">
        <f>+'Deuda a emitir'!N164-N737</f>
        <v>#DIV/0!</v>
      </c>
      <c r="O731" s="283" t="e">
        <f>+'Deuda a emitir'!O164-O737</f>
        <v>#DIV/0!</v>
      </c>
      <c r="P731" s="283" t="e">
        <f>+'Deuda a emitir'!P164-P737</f>
        <v>#DIV/0!</v>
      </c>
      <c r="Q731" s="718" t="e">
        <f>+'Deuda a emitir'!Q164-Q737</f>
        <v>#DIV/0!</v>
      </c>
    </row>
    <row r="732" spans="1:57">
      <c r="A732" s="809"/>
      <c r="B732" s="800"/>
      <c r="C732" s="182" t="s">
        <v>220</v>
      </c>
      <c r="D732" s="283"/>
      <c r="E732" s="283"/>
      <c r="F732" s="313">
        <f>+'Deuda a emitir'!F304-F738</f>
        <v>0</v>
      </c>
      <c r="G732" s="313" t="e">
        <f>+'Deuda a emitir'!G304-G738</f>
        <v>#DIV/0!</v>
      </c>
      <c r="H732" s="313" t="e">
        <f>+'Deuda a emitir'!H304-H738</f>
        <v>#DIV/0!</v>
      </c>
      <c r="I732" s="313" t="e">
        <f>+'Deuda a emitir'!I304-I738</f>
        <v>#DIV/0!</v>
      </c>
      <c r="J732" s="313" t="e">
        <f>+'Deuda a emitir'!J304-J738</f>
        <v>#DIV/0!</v>
      </c>
      <c r="K732" s="313" t="e">
        <f>+'Deuda a emitir'!K304-K738</f>
        <v>#DIV/0!</v>
      </c>
      <c r="L732" s="313" t="e">
        <f>+'Deuda a emitir'!L304-L738</f>
        <v>#DIV/0!</v>
      </c>
      <c r="M732" s="313" t="e">
        <f>+'Deuda a emitir'!M304-M738</f>
        <v>#DIV/0!</v>
      </c>
      <c r="N732" s="313" t="e">
        <f>+'Deuda a emitir'!N304-N738</f>
        <v>#DIV/0!</v>
      </c>
      <c r="O732" s="313" t="e">
        <f>+'Deuda a emitir'!O304-O738</f>
        <v>#DIV/0!</v>
      </c>
      <c r="P732" s="313" t="e">
        <f>+'Deuda a emitir'!P304-P738</f>
        <v>#DIV/0!</v>
      </c>
      <c r="Q732" s="720" t="e">
        <f>+'Deuda a emitir'!Q304-Q738</f>
        <v>#DIV/0!</v>
      </c>
      <c r="R732" s="49"/>
      <c r="S732" s="49"/>
    </row>
    <row r="733" spans="1:57">
      <c r="A733" s="809"/>
      <c r="B733" s="800"/>
      <c r="C733" s="244" t="s">
        <v>221</v>
      </c>
      <c r="D733" s="37"/>
      <c r="E733" s="37"/>
      <c r="F733" s="288">
        <f t="shared" ref="F733:Q733" si="260">F150</f>
        <v>7188.4229892234271</v>
      </c>
      <c r="G733" s="288">
        <f t="shared" si="260"/>
        <v>26874</v>
      </c>
      <c r="H733" s="288">
        <f t="shared" si="260"/>
        <v>30622.012042999999</v>
      </c>
      <c r="I733" s="288">
        <f t="shared" si="260"/>
        <v>44365.378420724759</v>
      </c>
      <c r="J733" s="288">
        <f t="shared" si="260"/>
        <v>33744.509313000002</v>
      </c>
      <c r="K733" s="288">
        <f t="shared" si="260"/>
        <v>18574.045028411401</v>
      </c>
      <c r="L733" s="288">
        <f t="shared" si="260"/>
        <v>22337.127814999996</v>
      </c>
      <c r="M733" s="288">
        <f t="shared" si="260"/>
        <v>34945.541055000002</v>
      </c>
      <c r="N733" s="288">
        <f t="shared" si="260"/>
        <v>27953.497500000001</v>
      </c>
      <c r="O733" s="288">
        <f t="shared" si="260"/>
        <v>38269.1798985848</v>
      </c>
      <c r="P733" s="288">
        <f t="shared" si="260"/>
        <v>27735.275300000001</v>
      </c>
      <c r="Q733" s="289">
        <f t="shared" si="260"/>
        <v>34198.8649753344</v>
      </c>
      <c r="R733" s="49"/>
      <c r="S733" s="49"/>
    </row>
    <row r="734" spans="1:57">
      <c r="A734" s="809"/>
      <c r="B734" s="800"/>
      <c r="C734" s="182" t="s">
        <v>219</v>
      </c>
      <c r="D734" s="283"/>
      <c r="E734" s="283"/>
      <c r="F734" s="313">
        <f t="shared" ref="F734:Q734" si="261">F151</f>
        <v>0</v>
      </c>
      <c r="G734" s="313">
        <f t="shared" si="261"/>
        <v>0</v>
      </c>
      <c r="H734" s="313">
        <f t="shared" si="261"/>
        <v>30622.012042999999</v>
      </c>
      <c r="I734" s="313">
        <f t="shared" si="261"/>
        <v>20542.721558309957</v>
      </c>
      <c r="J734" s="313">
        <f t="shared" si="261"/>
        <v>33744.509313000002</v>
      </c>
      <c r="K734" s="313">
        <f t="shared" si="261"/>
        <v>-196.53153771600046</v>
      </c>
      <c r="L734" s="313">
        <f t="shared" si="261"/>
        <v>22337.127814999996</v>
      </c>
      <c r="M734" s="313">
        <f t="shared" si="261"/>
        <v>34945.541055000002</v>
      </c>
      <c r="N734" s="313">
        <f t="shared" si="261"/>
        <v>27953.497500000001</v>
      </c>
      <c r="O734" s="313">
        <f t="shared" si="261"/>
        <v>22446.003303798403</v>
      </c>
      <c r="P734" s="313">
        <f t="shared" si="261"/>
        <v>27735.275300000001</v>
      </c>
      <c r="Q734" s="720">
        <f t="shared" si="261"/>
        <v>-15.520949964797182</v>
      </c>
      <c r="R734" s="49"/>
      <c r="S734" s="49"/>
    </row>
    <row r="735" spans="1:57">
      <c r="A735" s="809"/>
      <c r="B735" s="800"/>
      <c r="C735" s="182" t="s">
        <v>220</v>
      </c>
      <c r="D735" s="283"/>
      <c r="E735" s="283"/>
      <c r="F735" s="313">
        <f t="shared" ref="F735:Q735" si="262">F152</f>
        <v>0</v>
      </c>
      <c r="G735" s="313">
        <f t="shared" si="262"/>
        <v>0</v>
      </c>
      <c r="H735" s="313">
        <f t="shared" si="262"/>
        <v>0</v>
      </c>
      <c r="I735" s="313">
        <f t="shared" si="262"/>
        <v>23822.656862414802</v>
      </c>
      <c r="J735" s="313">
        <f t="shared" si="262"/>
        <v>0</v>
      </c>
      <c r="K735" s="313">
        <f t="shared" si="262"/>
        <v>18770.576566127402</v>
      </c>
      <c r="L735" s="313">
        <f t="shared" si="262"/>
        <v>0</v>
      </c>
      <c r="M735" s="313">
        <f t="shared" si="262"/>
        <v>0</v>
      </c>
      <c r="N735" s="313">
        <f t="shared" si="262"/>
        <v>0</v>
      </c>
      <c r="O735" s="313">
        <f t="shared" si="262"/>
        <v>15823.176594786399</v>
      </c>
      <c r="P735" s="313">
        <f t="shared" si="262"/>
        <v>0</v>
      </c>
      <c r="Q735" s="720">
        <f t="shared" si="262"/>
        <v>34214.385925299197</v>
      </c>
      <c r="R735" s="49"/>
      <c r="S735" s="49"/>
    </row>
    <row r="736" spans="1:57">
      <c r="A736" s="809"/>
      <c r="B736" s="800"/>
      <c r="C736" s="244" t="s">
        <v>157</v>
      </c>
      <c r="D736" s="288"/>
      <c r="E736" s="37"/>
      <c r="F736" s="37">
        <f t="shared" ref="F736:Q736" si="263">F737+F738</f>
        <v>0</v>
      </c>
      <c r="G736" s="37">
        <f t="shared" si="263"/>
        <v>0</v>
      </c>
      <c r="H736" s="37">
        <f t="shared" si="263"/>
        <v>0</v>
      </c>
      <c r="I736" s="37">
        <f t="shared" si="263"/>
        <v>0</v>
      </c>
      <c r="J736" s="37">
        <f t="shared" si="263"/>
        <v>0</v>
      </c>
      <c r="K736" s="37">
        <f t="shared" si="263"/>
        <v>0</v>
      </c>
      <c r="L736" s="37" t="e">
        <f t="shared" si="263"/>
        <v>#DIV/0!</v>
      </c>
      <c r="M736" s="37" t="e">
        <f t="shared" si="263"/>
        <v>#DIV/0!</v>
      </c>
      <c r="N736" s="37" t="e">
        <f t="shared" si="263"/>
        <v>#DIV/0!</v>
      </c>
      <c r="O736" s="37" t="e">
        <f t="shared" si="263"/>
        <v>#DIV/0!</v>
      </c>
      <c r="P736" s="37" t="e">
        <f t="shared" si="263"/>
        <v>#DIV/0!</v>
      </c>
      <c r="Q736" s="722" t="e">
        <f t="shared" si="263"/>
        <v>#DIV/0!</v>
      </c>
    </row>
    <row r="737" spans="1:17">
      <c r="A737" s="809"/>
      <c r="B737" s="800"/>
      <c r="C737" s="182" t="s">
        <v>219</v>
      </c>
      <c r="D737" s="313"/>
      <c r="E737" s="283"/>
      <c r="F737" s="283">
        <f>'Deuda a emitir'!F169</f>
        <v>0</v>
      </c>
      <c r="G737" s="283">
        <f>'Deuda a emitir'!G169</f>
        <v>0</v>
      </c>
      <c r="H737" s="283">
        <f>'Deuda a emitir'!H169</f>
        <v>0</v>
      </c>
      <c r="I737" s="283">
        <f>'Deuda a emitir'!I169</f>
        <v>0</v>
      </c>
      <c r="J737" s="283">
        <f>'Deuda a emitir'!J169</f>
        <v>0</v>
      </c>
      <c r="K737" s="283">
        <f>'Deuda a emitir'!K169</f>
        <v>0</v>
      </c>
      <c r="L737" s="283">
        <f>'Deuda a emitir'!L169</f>
        <v>0</v>
      </c>
      <c r="M737" s="283">
        <f>'Deuda a emitir'!M169</f>
        <v>0</v>
      </c>
      <c r="N737" s="283">
        <f>'Deuda a emitir'!N169</f>
        <v>0</v>
      </c>
      <c r="O737" s="283">
        <f>'Deuda a emitir'!O169</f>
        <v>0</v>
      </c>
      <c r="P737" s="283">
        <f>'Deuda a emitir'!P169</f>
        <v>0</v>
      </c>
      <c r="Q737" s="718" t="e">
        <f>'Deuda a emitir'!Q169</f>
        <v>#DIV/0!</v>
      </c>
    </row>
    <row r="738" spans="1:17">
      <c r="A738" s="809"/>
      <c r="B738" s="800"/>
      <c r="C738" s="182" t="s">
        <v>220</v>
      </c>
      <c r="D738" s="313"/>
      <c r="E738" s="283"/>
      <c r="F738" s="283">
        <f>'Deuda a emitir'!F315</f>
        <v>0</v>
      </c>
      <c r="G738" s="283">
        <f>'Deuda a emitir'!G315</f>
        <v>0</v>
      </c>
      <c r="H738" s="283">
        <f>'Deuda a emitir'!H315</f>
        <v>0</v>
      </c>
      <c r="I738" s="283">
        <f>'Deuda a emitir'!I315</f>
        <v>0</v>
      </c>
      <c r="J738" s="283">
        <f>'Deuda a emitir'!J315</f>
        <v>0</v>
      </c>
      <c r="K738" s="283">
        <f>'Deuda a emitir'!K315</f>
        <v>0</v>
      </c>
      <c r="L738" s="283" t="e">
        <f>'Deuda a emitir'!L315</f>
        <v>#DIV/0!</v>
      </c>
      <c r="M738" s="283" t="e">
        <f>'Deuda a emitir'!M315</f>
        <v>#DIV/0!</v>
      </c>
      <c r="N738" s="283" t="e">
        <f>'Deuda a emitir'!N315</f>
        <v>#DIV/0!</v>
      </c>
      <c r="O738" s="324" t="e">
        <f>'Deuda a emitir'!O315</f>
        <v>#DIV/0!</v>
      </c>
      <c r="P738" s="324" t="e">
        <f>'Deuda a emitir'!P315</f>
        <v>#DIV/0!</v>
      </c>
      <c r="Q738" s="728" t="e">
        <f>'Deuda a emitir'!Q315</f>
        <v>#DIV/0!</v>
      </c>
    </row>
    <row r="739" spans="1:17">
      <c r="A739" s="809"/>
      <c r="B739" s="800"/>
      <c r="C739" s="244" t="s">
        <v>222</v>
      </c>
      <c r="D739" s="37"/>
      <c r="E739" s="37"/>
      <c r="F739" s="37">
        <f t="shared" ref="F739:Q739" si="264">F740+F741</f>
        <v>0</v>
      </c>
      <c r="G739" s="37" t="e">
        <f t="shared" si="264"/>
        <v>#DIV/0!</v>
      </c>
      <c r="H739" s="37" t="e">
        <f t="shared" si="264"/>
        <v>#DIV/0!</v>
      </c>
      <c r="I739" s="37" t="e">
        <f>I740+I741</f>
        <v>#DIV/0!</v>
      </c>
      <c r="J739" s="37" t="e">
        <f t="shared" si="264"/>
        <v>#DIV/0!</v>
      </c>
      <c r="K739" s="37" t="e">
        <f t="shared" si="264"/>
        <v>#DIV/0!</v>
      </c>
      <c r="L739" s="37" t="e">
        <f t="shared" si="264"/>
        <v>#DIV/0!</v>
      </c>
      <c r="M739" s="37" t="e">
        <f t="shared" si="264"/>
        <v>#DIV/0!</v>
      </c>
      <c r="N739" s="288" t="e">
        <f t="shared" si="264"/>
        <v>#DIV/0!</v>
      </c>
      <c r="O739" s="340" t="e">
        <f t="shared" si="264"/>
        <v>#DIV/0!</v>
      </c>
      <c r="P739" s="340" t="e">
        <f t="shared" si="264"/>
        <v>#DIV/0!</v>
      </c>
      <c r="Q739" s="733" t="e">
        <f t="shared" si="264"/>
        <v>#DIV/0!</v>
      </c>
    </row>
    <row r="740" spans="1:17">
      <c r="A740" s="809"/>
      <c r="B740" s="800"/>
      <c r="C740" s="182" t="s">
        <v>219</v>
      </c>
      <c r="D740" s="283"/>
      <c r="E740" s="283"/>
      <c r="F740" s="283">
        <f t="shared" ref="F740:Q741" si="265">F731+F734+F737</f>
        <v>0</v>
      </c>
      <c r="G740" s="283" t="e">
        <f t="shared" si="265"/>
        <v>#DIV/0!</v>
      </c>
      <c r="H740" s="283" t="e">
        <f t="shared" si="265"/>
        <v>#DIV/0!</v>
      </c>
      <c r="I740" s="283" t="e">
        <f>I731+I734+I737</f>
        <v>#DIV/0!</v>
      </c>
      <c r="J740" s="283" t="e">
        <f t="shared" si="265"/>
        <v>#DIV/0!</v>
      </c>
      <c r="K740" s="283" t="e">
        <f t="shared" si="265"/>
        <v>#DIV/0!</v>
      </c>
      <c r="L740" s="283" t="e">
        <f t="shared" si="265"/>
        <v>#DIV/0!</v>
      </c>
      <c r="M740" s="283" t="e">
        <f t="shared" si="265"/>
        <v>#DIV/0!</v>
      </c>
      <c r="N740" s="313" t="e">
        <f t="shared" si="265"/>
        <v>#DIV/0!</v>
      </c>
      <c r="O740" s="341" t="e">
        <f t="shared" si="265"/>
        <v>#DIV/0!</v>
      </c>
      <c r="P740" s="341" t="e">
        <f t="shared" si="265"/>
        <v>#DIV/0!</v>
      </c>
      <c r="Q740" s="734" t="e">
        <f t="shared" si="265"/>
        <v>#DIV/0!</v>
      </c>
    </row>
    <row r="741" spans="1:17">
      <c r="A741" s="809"/>
      <c r="B741" s="801"/>
      <c r="C741" s="249" t="s">
        <v>220</v>
      </c>
      <c r="D741" s="342"/>
      <c r="E741" s="342"/>
      <c r="F741" s="342">
        <f t="shared" si="265"/>
        <v>0</v>
      </c>
      <c r="G741" s="342" t="e">
        <f t="shared" si="265"/>
        <v>#DIV/0!</v>
      </c>
      <c r="H741" s="342" t="e">
        <f t="shared" si="265"/>
        <v>#DIV/0!</v>
      </c>
      <c r="I741" s="342" t="e">
        <f t="shared" si="265"/>
        <v>#DIV/0!</v>
      </c>
      <c r="J741" s="342" t="e">
        <f t="shared" si="265"/>
        <v>#DIV/0!</v>
      </c>
      <c r="K741" s="342" t="e">
        <f t="shared" si="265"/>
        <v>#DIV/0!</v>
      </c>
      <c r="L741" s="342" t="e">
        <f t="shared" si="265"/>
        <v>#DIV/0!</v>
      </c>
      <c r="M741" s="342" t="e">
        <f t="shared" si="265"/>
        <v>#DIV/0!</v>
      </c>
      <c r="N741" s="343" t="e">
        <f t="shared" si="265"/>
        <v>#DIV/0!</v>
      </c>
      <c r="O741" s="344" t="e">
        <f t="shared" si="265"/>
        <v>#DIV/0!</v>
      </c>
      <c r="P741" s="344" t="e">
        <f t="shared" si="265"/>
        <v>#DIV/0!</v>
      </c>
      <c r="Q741" s="734" t="e">
        <f t="shared" si="265"/>
        <v>#DIV/0!</v>
      </c>
    </row>
    <row r="742" spans="1:17" ht="16">
      <c r="A742" s="809"/>
      <c r="B742" s="802" t="s">
        <v>223</v>
      </c>
      <c r="C742" s="338" t="s">
        <v>42</v>
      </c>
      <c r="D742" s="339"/>
      <c r="E742" s="339"/>
      <c r="F742" s="339">
        <f>+'Deuda a emitir'!F144</f>
        <v>0</v>
      </c>
      <c r="G742" s="339" t="e">
        <f>+'Deuda a emitir'!G144</f>
        <v>#DIV/0!</v>
      </c>
      <c r="H742" s="339" t="e">
        <f>+'Deuda a emitir'!H144</f>
        <v>#DIV/0!</v>
      </c>
      <c r="I742" s="339" t="e">
        <f>+'Deuda a emitir'!I144</f>
        <v>#DIV/0!</v>
      </c>
      <c r="J742" s="339" t="e">
        <f>+'Deuda a emitir'!J144</f>
        <v>#DIV/0!</v>
      </c>
      <c r="K742" s="339" t="e">
        <f>+'Deuda a emitir'!K144</f>
        <v>#DIV/0!</v>
      </c>
      <c r="L742" s="339" t="e">
        <f>+'Deuda a emitir'!L144</f>
        <v>#DIV/0!</v>
      </c>
      <c r="M742" s="339" t="e">
        <f>+'Deuda a emitir'!M144</f>
        <v>#DIV/0!</v>
      </c>
      <c r="N742" s="339" t="e">
        <f>+'Deuda a emitir'!N144</f>
        <v>#DIV/0!</v>
      </c>
      <c r="O742" s="345" t="e">
        <f>+'Deuda a emitir'!O144</f>
        <v>#DIV/0!</v>
      </c>
      <c r="P742" s="345" t="e">
        <f>+'Deuda a emitir'!P144</f>
        <v>#DIV/0!</v>
      </c>
      <c r="Q742" s="735" t="e">
        <f>+'Deuda a emitir'!Q144</f>
        <v>#DIV/0!</v>
      </c>
    </row>
    <row r="743" spans="1:17">
      <c r="A743" s="809"/>
      <c r="B743" s="803"/>
      <c r="C743" s="182" t="s">
        <v>224</v>
      </c>
      <c r="D743" s="283"/>
      <c r="E743" s="283"/>
      <c r="F743" s="283">
        <f>'Deuda a emitir'!F463-F749</f>
        <v>0</v>
      </c>
      <c r="G743" s="283" t="e">
        <f>'Deuda a emitir'!G463-G749</f>
        <v>#DIV/0!</v>
      </c>
      <c r="H743" s="283" t="e">
        <f>'Deuda a emitir'!H463-H749</f>
        <v>#DIV/0!</v>
      </c>
      <c r="I743" s="283" t="e">
        <f>'Deuda a emitir'!I463-I749</f>
        <v>#DIV/0!</v>
      </c>
      <c r="J743" s="283" t="e">
        <f>'Deuda a emitir'!J463-J749</f>
        <v>#DIV/0!</v>
      </c>
      <c r="K743" s="283" t="e">
        <f>'Deuda a emitir'!K463-K749</f>
        <v>#DIV/0!</v>
      </c>
      <c r="L743" s="283" t="e">
        <f>'Deuda a emitir'!L463-L749</f>
        <v>#DIV/0!</v>
      </c>
      <c r="M743" s="283" t="e">
        <f>'Deuda a emitir'!M463-M749</f>
        <v>#DIV/0!</v>
      </c>
      <c r="N743" s="283" t="e">
        <f>'Deuda a emitir'!N463-N749</f>
        <v>#DIV/0!</v>
      </c>
      <c r="O743" s="324" t="e">
        <f>'Deuda a emitir'!O463-O749</f>
        <v>#DIV/0!</v>
      </c>
      <c r="P743" s="324" t="e">
        <f>'Deuda a emitir'!P463-P749</f>
        <v>#DIV/0!</v>
      </c>
      <c r="Q743" s="728" t="e">
        <f>'Deuda a emitir'!Q463-Q749</f>
        <v>#DIV/0!</v>
      </c>
    </row>
    <row r="744" spans="1:17">
      <c r="A744" s="809"/>
      <c r="B744" s="803"/>
      <c r="C744" s="182" t="s">
        <v>225</v>
      </c>
      <c r="D744" s="283"/>
      <c r="E744" s="283"/>
      <c r="F744" s="283">
        <f>'Deuda a emitir'!F583-F750</f>
        <v>0</v>
      </c>
      <c r="G744" s="283" t="e">
        <f>'Deuda a emitir'!G583-G750</f>
        <v>#DIV/0!</v>
      </c>
      <c r="H744" s="283" t="e">
        <f>'Deuda a emitir'!H583-H750</f>
        <v>#DIV/0!</v>
      </c>
      <c r="I744" s="283" t="e">
        <f>'Deuda a emitir'!I583-I750</f>
        <v>#DIV/0!</v>
      </c>
      <c r="J744" s="283" t="e">
        <f>'Deuda a emitir'!J583-J750</f>
        <v>#DIV/0!</v>
      </c>
      <c r="K744" s="283" t="e">
        <f>'Deuda a emitir'!K583-K750</f>
        <v>#DIV/0!</v>
      </c>
      <c r="L744" s="283" t="e">
        <f>'Deuda a emitir'!L583-L750</f>
        <v>#DIV/0!</v>
      </c>
      <c r="M744" s="283" t="e">
        <f>'Deuda a emitir'!M583-M750</f>
        <v>#DIV/0!</v>
      </c>
      <c r="N744" s="283" t="e">
        <f>'Deuda a emitir'!N583-N750</f>
        <v>#DIV/0!</v>
      </c>
      <c r="O744" s="324" t="e">
        <f>'Deuda a emitir'!O583-O750</f>
        <v>#DIV/0!</v>
      </c>
      <c r="P744" s="324" t="e">
        <f>'Deuda a emitir'!P583-P750</f>
        <v>#DIV/0!</v>
      </c>
      <c r="Q744" s="728" t="e">
        <f>'Deuda a emitir'!Q583-Q750</f>
        <v>#DIV/0!</v>
      </c>
    </row>
    <row r="745" spans="1:17">
      <c r="A745" s="809"/>
      <c r="B745" s="803"/>
      <c r="C745" s="244" t="s">
        <v>221</v>
      </c>
      <c r="D745" s="37"/>
      <c r="E745" s="37"/>
      <c r="F745" s="37">
        <f>+'Deuda a emitir'!F155</f>
        <v>0</v>
      </c>
      <c r="G745" s="37">
        <f>+'Deuda a emitir'!G155</f>
        <v>0</v>
      </c>
      <c r="H745" s="37">
        <f>+'Deuda a emitir'!H155</f>
        <v>0</v>
      </c>
      <c r="I745" s="37">
        <f>+'Deuda a emitir'!I155</f>
        <v>0</v>
      </c>
      <c r="J745" s="37">
        <f>+'Deuda a emitir'!J155</f>
        <v>0</v>
      </c>
      <c r="K745" s="37">
        <f>+'Deuda a emitir'!K155</f>
        <v>0</v>
      </c>
      <c r="L745" s="37">
        <f>+'Deuda a emitir'!L155</f>
        <v>0</v>
      </c>
      <c r="M745" s="37">
        <f>+'Deuda a emitir'!M155</f>
        <v>0</v>
      </c>
      <c r="N745" s="37">
        <f>+'Deuda a emitir'!N155</f>
        <v>0</v>
      </c>
      <c r="O745" s="346">
        <f>+'Deuda a emitir'!O155</f>
        <v>0</v>
      </c>
      <c r="P745" s="346">
        <f>+'Deuda a emitir'!P155</f>
        <v>0</v>
      </c>
      <c r="Q745" s="727">
        <f>+'Deuda a emitir'!Q155</f>
        <v>0</v>
      </c>
    </row>
    <row r="746" spans="1:17">
      <c r="A746" s="809"/>
      <c r="B746" s="803"/>
      <c r="C746" s="182" t="s">
        <v>224</v>
      </c>
      <c r="D746" s="283"/>
      <c r="E746" s="283"/>
      <c r="F746" s="283">
        <f>'Deuda a emitir'!F464</f>
        <v>0</v>
      </c>
      <c r="G746" s="283">
        <f>'Deuda a emitir'!G464</f>
        <v>0</v>
      </c>
      <c r="H746" s="283">
        <f>'Deuda a emitir'!H464</f>
        <v>0</v>
      </c>
      <c r="I746" s="283">
        <f>'Deuda a emitir'!I464</f>
        <v>0</v>
      </c>
      <c r="J746" s="283">
        <f>'Deuda a emitir'!J464</f>
        <v>0</v>
      </c>
      <c r="K746" s="283">
        <f>'Deuda a emitir'!K464</f>
        <v>0</v>
      </c>
      <c r="L746" s="283">
        <f>'Deuda a emitir'!L464</f>
        <v>0</v>
      </c>
      <c r="M746" s="283">
        <f>'Deuda a emitir'!M464</f>
        <v>0</v>
      </c>
      <c r="N746" s="283">
        <f>'Deuda a emitir'!N464</f>
        <v>0</v>
      </c>
      <c r="O746" s="324">
        <f>'Deuda a emitir'!O464</f>
        <v>0</v>
      </c>
      <c r="P746" s="324">
        <f>'Deuda a emitir'!P464</f>
        <v>0</v>
      </c>
      <c r="Q746" s="728">
        <f>'Deuda a emitir'!Q464</f>
        <v>0</v>
      </c>
    </row>
    <row r="747" spans="1:17">
      <c r="A747" s="809"/>
      <c r="B747" s="803"/>
      <c r="C747" s="182" t="s">
        <v>225</v>
      </c>
      <c r="D747" s="283"/>
      <c r="E747" s="283"/>
      <c r="F747" s="283">
        <f>'Deuda a emitir'!F584</f>
        <v>0</v>
      </c>
      <c r="G747" s="283">
        <f>'Deuda a emitir'!G584</f>
        <v>0</v>
      </c>
      <c r="H747" s="283">
        <f>'Deuda a emitir'!H584</f>
        <v>0</v>
      </c>
      <c r="I747" s="283">
        <f>'Deuda a emitir'!I584</f>
        <v>0</v>
      </c>
      <c r="J747" s="283">
        <f>'Deuda a emitir'!J584</f>
        <v>0</v>
      </c>
      <c r="K747" s="283">
        <f>'Deuda a emitir'!K584</f>
        <v>0</v>
      </c>
      <c r="L747" s="283">
        <f>'Deuda a emitir'!L584</f>
        <v>0</v>
      </c>
      <c r="M747" s="283">
        <f>'Deuda a emitir'!M584</f>
        <v>0</v>
      </c>
      <c r="N747" s="283">
        <f>'Deuda a emitir'!N584</f>
        <v>0</v>
      </c>
      <c r="O747" s="324">
        <f>'Deuda a emitir'!O584</f>
        <v>0</v>
      </c>
      <c r="P747" s="324">
        <f>'Deuda a emitir'!P584</f>
        <v>0</v>
      </c>
      <c r="Q747" s="728">
        <f>'Deuda a emitir'!Q584</f>
        <v>0</v>
      </c>
    </row>
    <row r="748" spans="1:17">
      <c r="A748" s="809"/>
      <c r="B748" s="803"/>
      <c r="C748" s="244" t="s">
        <v>157</v>
      </c>
      <c r="D748" s="288"/>
      <c r="E748" s="37"/>
      <c r="F748" s="37">
        <f>+'Deuda a emitir'!F145</f>
        <v>0</v>
      </c>
      <c r="G748" s="37">
        <f>+'Deuda a emitir'!G145</f>
        <v>0</v>
      </c>
      <c r="H748" s="37">
        <f>+'Deuda a emitir'!H145</f>
        <v>0</v>
      </c>
      <c r="I748" s="37">
        <f>+'Deuda a emitir'!I145</f>
        <v>0</v>
      </c>
      <c r="J748" s="37">
        <f>+'Deuda a emitir'!J145</f>
        <v>0</v>
      </c>
      <c r="K748" s="37" t="e">
        <f>+'Deuda a emitir'!K145</f>
        <v>#DIV/0!</v>
      </c>
      <c r="L748" s="37" t="e">
        <f>+'Deuda a emitir'!L145</f>
        <v>#DIV/0!</v>
      </c>
      <c r="M748" s="37" t="e">
        <f>+'Deuda a emitir'!M145</f>
        <v>#DIV/0!</v>
      </c>
      <c r="N748" s="37" t="e">
        <f>+'Deuda a emitir'!N145</f>
        <v>#DIV/0!</v>
      </c>
      <c r="O748" s="346" t="e">
        <f>+'Deuda a emitir'!O145</f>
        <v>#DIV/0!</v>
      </c>
      <c r="P748" s="346" t="e">
        <f>+'Deuda a emitir'!P145</f>
        <v>#DIV/0!</v>
      </c>
      <c r="Q748" s="727" t="e">
        <f>+'Deuda a emitir'!Q145</f>
        <v>#DIV/0!</v>
      </c>
    </row>
    <row r="749" spans="1:17">
      <c r="A749" s="809"/>
      <c r="B749" s="803"/>
      <c r="C749" s="182" t="s">
        <v>224</v>
      </c>
      <c r="D749" s="313"/>
      <c r="E749" s="313"/>
      <c r="F749" s="313">
        <f>'Deuda a emitir'!F474</f>
        <v>0</v>
      </c>
      <c r="G749" s="313">
        <f>'Deuda a emitir'!G474</f>
        <v>0</v>
      </c>
      <c r="H749" s="313">
        <f>'Deuda a emitir'!H474</f>
        <v>0</v>
      </c>
      <c r="I749" s="313">
        <f>'Deuda a emitir'!I474</f>
        <v>0</v>
      </c>
      <c r="J749" s="313">
        <f>'Deuda a emitir'!J474</f>
        <v>0</v>
      </c>
      <c r="K749" s="313" t="e">
        <f>'Deuda a emitir'!K474</f>
        <v>#DIV/0!</v>
      </c>
      <c r="L749" s="313" t="e">
        <f>'Deuda a emitir'!L474</f>
        <v>#DIV/0!</v>
      </c>
      <c r="M749" s="313" t="e">
        <f>'Deuda a emitir'!M474</f>
        <v>#DIV/0!</v>
      </c>
      <c r="N749" s="313" t="e">
        <f>'Deuda a emitir'!N474</f>
        <v>#DIV/0!</v>
      </c>
      <c r="O749" s="341" t="e">
        <f>'Deuda a emitir'!O474</f>
        <v>#DIV/0!</v>
      </c>
      <c r="P749" s="341" t="e">
        <f>'Deuda a emitir'!P474</f>
        <v>#DIV/0!</v>
      </c>
      <c r="Q749" s="734" t="e">
        <f>'Deuda a emitir'!Q474</f>
        <v>#DIV/0!</v>
      </c>
    </row>
    <row r="750" spans="1:17">
      <c r="A750" s="809"/>
      <c r="B750" s="803"/>
      <c r="C750" s="182" t="s">
        <v>225</v>
      </c>
      <c r="D750" s="313"/>
      <c r="E750" s="313"/>
      <c r="F750" s="313">
        <f>'Deuda a emitir'!F594</f>
        <v>0</v>
      </c>
      <c r="G750" s="313">
        <f>'Deuda a emitir'!G594</f>
        <v>0</v>
      </c>
      <c r="H750" s="313">
        <f>'Deuda a emitir'!H594</f>
        <v>0</v>
      </c>
      <c r="I750" s="313">
        <f>'Deuda a emitir'!I594</f>
        <v>0</v>
      </c>
      <c r="J750" s="313">
        <f>'Deuda a emitir'!J594</f>
        <v>0</v>
      </c>
      <c r="K750" s="313" t="e">
        <f>'Deuda a emitir'!K594</f>
        <v>#DIV/0!</v>
      </c>
      <c r="L750" s="313" t="e">
        <f>'Deuda a emitir'!L594</f>
        <v>#DIV/0!</v>
      </c>
      <c r="M750" s="313" t="e">
        <f>'Deuda a emitir'!M594</f>
        <v>#DIV/0!</v>
      </c>
      <c r="N750" s="313" t="e">
        <f>'Deuda a emitir'!N594</f>
        <v>#DIV/0!</v>
      </c>
      <c r="O750" s="341" t="e">
        <f>'Deuda a emitir'!O594</f>
        <v>#DIV/0!</v>
      </c>
      <c r="P750" s="341" t="e">
        <f>'Deuda a emitir'!P594</f>
        <v>#DIV/0!</v>
      </c>
      <c r="Q750" s="734" t="e">
        <f>'Deuda a emitir'!Q594</f>
        <v>#DIV/0!</v>
      </c>
    </row>
    <row r="751" spans="1:17">
      <c r="A751" s="809"/>
      <c r="B751" s="803"/>
      <c r="C751" s="244" t="s">
        <v>226</v>
      </c>
      <c r="D751" s="37"/>
      <c r="E751" s="37"/>
      <c r="F751" s="37">
        <f t="shared" ref="F751:Q753" si="266">F742+F745+F748</f>
        <v>0</v>
      </c>
      <c r="G751" s="37" t="e">
        <f t="shared" si="266"/>
        <v>#DIV/0!</v>
      </c>
      <c r="H751" s="37" t="e">
        <f t="shared" si="266"/>
        <v>#DIV/0!</v>
      </c>
      <c r="I751" s="37" t="e">
        <f t="shared" si="266"/>
        <v>#DIV/0!</v>
      </c>
      <c r="J751" s="37" t="e">
        <f t="shared" si="266"/>
        <v>#DIV/0!</v>
      </c>
      <c r="K751" s="37" t="e">
        <f t="shared" si="266"/>
        <v>#DIV/0!</v>
      </c>
      <c r="L751" s="37" t="e">
        <f t="shared" si="266"/>
        <v>#DIV/0!</v>
      </c>
      <c r="M751" s="37" t="e">
        <f t="shared" si="266"/>
        <v>#DIV/0!</v>
      </c>
      <c r="N751" s="288" t="e">
        <f t="shared" si="266"/>
        <v>#DIV/0!</v>
      </c>
      <c r="O751" s="340" t="e">
        <f t="shared" si="266"/>
        <v>#DIV/0!</v>
      </c>
      <c r="P751" s="340" t="e">
        <f t="shared" si="266"/>
        <v>#DIV/0!</v>
      </c>
      <c r="Q751" s="733" t="e">
        <f t="shared" si="266"/>
        <v>#DIV/0!</v>
      </c>
    </row>
    <row r="752" spans="1:17">
      <c r="A752" s="809"/>
      <c r="B752" s="803"/>
      <c r="C752" s="182" t="s">
        <v>224</v>
      </c>
      <c r="D752" s="37"/>
      <c r="E752" s="283"/>
      <c r="F752" s="283">
        <f t="shared" si="266"/>
        <v>0</v>
      </c>
      <c r="G752" s="283" t="e">
        <f t="shared" si="266"/>
        <v>#DIV/0!</v>
      </c>
      <c r="H752" s="283" t="e">
        <f t="shared" si="266"/>
        <v>#DIV/0!</v>
      </c>
      <c r="I752" s="283" t="e">
        <f t="shared" si="266"/>
        <v>#DIV/0!</v>
      </c>
      <c r="J752" s="283" t="e">
        <f t="shared" si="266"/>
        <v>#DIV/0!</v>
      </c>
      <c r="K752" s="283" t="e">
        <f t="shared" si="266"/>
        <v>#DIV/0!</v>
      </c>
      <c r="L752" s="283" t="e">
        <f t="shared" si="266"/>
        <v>#DIV/0!</v>
      </c>
      <c r="M752" s="283" t="e">
        <f t="shared" si="266"/>
        <v>#DIV/0!</v>
      </c>
      <c r="N752" s="313" t="e">
        <f t="shared" si="266"/>
        <v>#DIV/0!</v>
      </c>
      <c r="O752" s="341" t="e">
        <f t="shared" si="266"/>
        <v>#DIV/0!</v>
      </c>
      <c r="P752" s="341" t="e">
        <f t="shared" si="266"/>
        <v>#DIV/0!</v>
      </c>
      <c r="Q752" s="734" t="e">
        <f t="shared" si="266"/>
        <v>#DIV/0!</v>
      </c>
    </row>
    <row r="753" spans="1:17">
      <c r="A753" s="810"/>
      <c r="B753" s="804"/>
      <c r="C753" s="249" t="s">
        <v>225</v>
      </c>
      <c r="D753" s="347"/>
      <c r="E753" s="342"/>
      <c r="F753" s="342">
        <f t="shared" si="266"/>
        <v>0</v>
      </c>
      <c r="G753" s="342" t="e">
        <f t="shared" si="266"/>
        <v>#DIV/0!</v>
      </c>
      <c r="H753" s="342" t="e">
        <f t="shared" si="266"/>
        <v>#DIV/0!</v>
      </c>
      <c r="I753" s="342" t="e">
        <f t="shared" si="266"/>
        <v>#DIV/0!</v>
      </c>
      <c r="J753" s="342" t="e">
        <f t="shared" si="266"/>
        <v>#DIV/0!</v>
      </c>
      <c r="K753" s="342" t="e">
        <f t="shared" si="266"/>
        <v>#DIV/0!</v>
      </c>
      <c r="L753" s="342" t="e">
        <f t="shared" si="266"/>
        <v>#DIV/0!</v>
      </c>
      <c r="M753" s="342" t="e">
        <f t="shared" si="266"/>
        <v>#DIV/0!</v>
      </c>
      <c r="N753" s="343" t="e">
        <f t="shared" si="266"/>
        <v>#DIV/0!</v>
      </c>
      <c r="O753" s="344" t="e">
        <f t="shared" si="266"/>
        <v>#DIV/0!</v>
      </c>
      <c r="P753" s="344" t="e">
        <f t="shared" si="266"/>
        <v>#DIV/0!</v>
      </c>
      <c r="Q753" s="736" t="e">
        <f t="shared" si="266"/>
        <v>#DIV/0!</v>
      </c>
    </row>
    <row r="754" spans="1:17">
      <c r="A754" s="348"/>
      <c r="B754" s="348"/>
      <c r="C754" s="182"/>
      <c r="D754" s="182"/>
      <c r="E754" s="182"/>
      <c r="F754" s="182"/>
      <c r="G754" s="182"/>
      <c r="H754" s="182"/>
      <c r="I754" s="182"/>
      <c r="J754" s="182"/>
      <c r="K754" s="182"/>
      <c r="L754" s="182"/>
      <c r="M754" s="182"/>
      <c r="N754" s="182"/>
      <c r="O754" s="336"/>
      <c r="P754" s="336"/>
      <c r="Q754" s="336"/>
    </row>
    <row r="755" spans="1:17" ht="16">
      <c r="A755" s="796" t="s">
        <v>227</v>
      </c>
      <c r="B755" s="799" t="s">
        <v>218</v>
      </c>
      <c r="C755" s="349" t="s">
        <v>228</v>
      </c>
      <c r="D755" s="350"/>
      <c r="E755" s="350"/>
      <c r="F755" s="350">
        <f>'Deuda a emitir'!F130</f>
        <v>50290</v>
      </c>
      <c r="G755" s="350">
        <f>'Deuda a emitir'!G130</f>
        <v>51735</v>
      </c>
      <c r="H755" s="350">
        <f>'Deuda a emitir'!H130</f>
        <v>28328.392745031928</v>
      </c>
      <c r="I755" s="350">
        <f>'Deuda a emitir'!I130</f>
        <v>26215.698614925677</v>
      </c>
      <c r="J755" s="350">
        <f>'Deuda a emitir'!J130</f>
        <v>24322.325778194405</v>
      </c>
      <c r="K755" s="350">
        <f>'Deuda a emitir'!K130</f>
        <v>22465.133788063362</v>
      </c>
      <c r="L755" s="350">
        <f>'Deuda a emitir'!L130</f>
        <v>22115.475646455689</v>
      </c>
      <c r="M755" s="350">
        <f>'Deuda a emitir'!M130</f>
        <v>20546.359583509358</v>
      </c>
      <c r="N755" s="350">
        <f>'Deuda a emitir'!N130</f>
        <v>18369.224694379642</v>
      </c>
      <c r="O755" s="351">
        <f>'Deuda a emitir'!O130</f>
        <v>16584.357668746023</v>
      </c>
      <c r="P755" s="351">
        <f>'Deuda a emitir'!P130</f>
        <v>13119.108154746462</v>
      </c>
      <c r="Q755" s="726">
        <f>'Deuda a emitir'!Q130</f>
        <v>11270.628739091359</v>
      </c>
    </row>
    <row r="756" spans="1:17">
      <c r="A756" s="797"/>
      <c r="B756" s="800"/>
      <c r="C756" s="352" t="s">
        <v>229</v>
      </c>
      <c r="D756" s="37"/>
      <c r="E756" s="37"/>
      <c r="F756" s="37">
        <f t="shared" ref="F756:P756" si="267">SUM(F757:F758)</f>
        <v>0</v>
      </c>
      <c r="G756" s="37">
        <f t="shared" si="267"/>
        <v>0</v>
      </c>
      <c r="H756" s="37" t="e">
        <f t="shared" si="267"/>
        <v>#DIV/0!</v>
      </c>
      <c r="I756" s="37" t="e">
        <f t="shared" si="267"/>
        <v>#DIV/0!</v>
      </c>
      <c r="J756" s="37" t="e">
        <f t="shared" si="267"/>
        <v>#DIV/0!</v>
      </c>
      <c r="K756" s="37" t="e">
        <f t="shared" si="267"/>
        <v>#DIV/0!</v>
      </c>
      <c r="L756" s="37" t="e">
        <f t="shared" si="267"/>
        <v>#DIV/0!</v>
      </c>
      <c r="M756" s="37" t="e">
        <f t="shared" si="267"/>
        <v>#DIV/0!</v>
      </c>
      <c r="N756" s="37" t="e">
        <f t="shared" si="267"/>
        <v>#DIV/0!</v>
      </c>
      <c r="O756" s="346" t="e">
        <f t="shared" si="267"/>
        <v>#DIV/0!</v>
      </c>
      <c r="P756" s="346" t="e">
        <f t="shared" si="267"/>
        <v>#DIV/0!</v>
      </c>
      <c r="Q756" s="727" t="e">
        <f t="shared" ref="Q756" si="268">SUM(Q757:Q758)</f>
        <v>#DIV/0!</v>
      </c>
    </row>
    <row r="757" spans="1:17">
      <c r="A757" s="797"/>
      <c r="B757" s="800"/>
      <c r="C757" s="353" t="s">
        <v>219</v>
      </c>
      <c r="D757" s="283"/>
      <c r="E757" s="283"/>
      <c r="F757" s="283">
        <f>'Deuda a emitir'!F167</f>
        <v>0</v>
      </c>
      <c r="G757" s="283">
        <f>'Deuda a emitir'!G167</f>
        <v>0</v>
      </c>
      <c r="H757" s="283" t="e">
        <f>'Deuda a emitir'!H167</f>
        <v>#DIV/0!</v>
      </c>
      <c r="I757" s="283" t="e">
        <f>'Deuda a emitir'!I167</f>
        <v>#DIV/0!</v>
      </c>
      <c r="J757" s="283" t="e">
        <f>'Deuda a emitir'!J167</f>
        <v>#DIV/0!</v>
      </c>
      <c r="K757" s="283" t="e">
        <f>'Deuda a emitir'!K167</f>
        <v>#DIV/0!</v>
      </c>
      <c r="L757" s="283" t="e">
        <f>'Deuda a emitir'!L167</f>
        <v>#DIV/0!</v>
      </c>
      <c r="M757" s="283" t="e">
        <f>'Deuda a emitir'!M167</f>
        <v>#DIV/0!</v>
      </c>
      <c r="N757" s="283" t="e">
        <f>'Deuda a emitir'!N167</f>
        <v>#DIV/0!</v>
      </c>
      <c r="O757" s="324" t="e">
        <f>'Deuda a emitir'!O167</f>
        <v>#DIV/0!</v>
      </c>
      <c r="P757" s="324" t="e">
        <f>'Deuda a emitir'!P167</f>
        <v>#DIV/0!</v>
      </c>
      <c r="Q757" s="728" t="e">
        <f>'Deuda a emitir'!Q167</f>
        <v>#DIV/0!</v>
      </c>
    </row>
    <row r="758" spans="1:17">
      <c r="A758" s="797"/>
      <c r="B758" s="800"/>
      <c r="C758" s="353" t="s">
        <v>220</v>
      </c>
      <c r="D758" s="283"/>
      <c r="E758" s="283"/>
      <c r="F758" s="283">
        <f>'Deuda a emitir'!F310</f>
        <v>0</v>
      </c>
      <c r="G758" s="283">
        <f>'Deuda a emitir'!G310</f>
        <v>0</v>
      </c>
      <c r="H758" s="283" t="e">
        <f>'Deuda a emitir'!H310</f>
        <v>#DIV/0!</v>
      </c>
      <c r="I758" s="283" t="e">
        <f>'Deuda a emitir'!I310</f>
        <v>#DIV/0!</v>
      </c>
      <c r="J758" s="283" t="e">
        <f>'Deuda a emitir'!J310</f>
        <v>#DIV/0!</v>
      </c>
      <c r="K758" s="283" t="e">
        <f>'Deuda a emitir'!K310</f>
        <v>#DIV/0!</v>
      </c>
      <c r="L758" s="283" t="e">
        <f>'Deuda a emitir'!L310</f>
        <v>#DIV/0!</v>
      </c>
      <c r="M758" s="283" t="e">
        <f>'Deuda a emitir'!M310</f>
        <v>#DIV/0!</v>
      </c>
      <c r="N758" s="283" t="e">
        <f>'Deuda a emitir'!N310</f>
        <v>#DIV/0!</v>
      </c>
      <c r="O758" s="283" t="e">
        <f>'Deuda a emitir'!O310</f>
        <v>#DIV/0!</v>
      </c>
      <c r="P758" s="283" t="e">
        <f>'Deuda a emitir'!P310</f>
        <v>#DIV/0!</v>
      </c>
      <c r="Q758" s="718" t="e">
        <f>'Deuda a emitir'!Q310</f>
        <v>#DIV/0!</v>
      </c>
    </row>
    <row r="759" spans="1:17">
      <c r="A759" s="797"/>
      <c r="B759" s="800"/>
      <c r="C759" s="352" t="s">
        <v>230</v>
      </c>
      <c r="D759" s="37"/>
      <c r="E759" s="37"/>
      <c r="F759" s="37">
        <f t="shared" ref="F759:P759" si="269">SUM(F760:F761)</f>
        <v>0</v>
      </c>
      <c r="G759" s="37" t="e">
        <f t="shared" si="269"/>
        <v>#DIV/0!</v>
      </c>
      <c r="H759" s="37" t="e">
        <f>SUM(H760:H761)</f>
        <v>#DIV/0!</v>
      </c>
      <c r="I759" s="37" t="e">
        <f t="shared" si="269"/>
        <v>#DIV/0!</v>
      </c>
      <c r="J759" s="37" t="e">
        <f t="shared" si="269"/>
        <v>#DIV/0!</v>
      </c>
      <c r="K759" s="37" t="e">
        <f t="shared" si="269"/>
        <v>#DIV/0!</v>
      </c>
      <c r="L759" s="37" t="e">
        <f t="shared" si="269"/>
        <v>#DIV/0!</v>
      </c>
      <c r="M759" s="37" t="e">
        <f t="shared" si="269"/>
        <v>#DIV/0!</v>
      </c>
      <c r="N759" s="37" t="e">
        <f t="shared" si="269"/>
        <v>#DIV/0!</v>
      </c>
      <c r="O759" s="37" t="e">
        <f t="shared" si="269"/>
        <v>#DIV/0!</v>
      </c>
      <c r="P759" s="37" t="e">
        <f t="shared" si="269"/>
        <v>#DIV/0!</v>
      </c>
      <c r="Q759" s="722" t="e">
        <f t="shared" ref="Q759" si="270">SUM(Q760:Q761)</f>
        <v>#DIV/0!</v>
      </c>
    </row>
    <row r="760" spans="1:17">
      <c r="A760" s="797"/>
      <c r="B760" s="800"/>
      <c r="C760" s="353" t="s">
        <v>219</v>
      </c>
      <c r="D760" s="283"/>
      <c r="E760" s="283"/>
      <c r="F760" s="283">
        <f>'Deuda a emitir'!F170</f>
        <v>0</v>
      </c>
      <c r="G760" s="283" t="e">
        <f>'Deuda a emitir'!G170</f>
        <v>#DIV/0!</v>
      </c>
      <c r="H760" s="283" t="e">
        <f>'Deuda a emitir'!H170</f>
        <v>#DIV/0!</v>
      </c>
      <c r="I760" s="283" t="e">
        <f>'Deuda a emitir'!I170</f>
        <v>#DIV/0!</v>
      </c>
      <c r="J760" s="283" t="e">
        <f>'Deuda a emitir'!J170</f>
        <v>#DIV/0!</v>
      </c>
      <c r="K760" s="283" t="e">
        <f>'Deuda a emitir'!K170</f>
        <v>#DIV/0!</v>
      </c>
      <c r="L760" s="283" t="e">
        <f>'Deuda a emitir'!L170</f>
        <v>#DIV/0!</v>
      </c>
      <c r="M760" s="283" t="e">
        <f>'Deuda a emitir'!M170</f>
        <v>#DIV/0!</v>
      </c>
      <c r="N760" s="283" t="e">
        <f>'Deuda a emitir'!N170</f>
        <v>#DIV/0!</v>
      </c>
      <c r="O760" s="283" t="e">
        <f>'Deuda a emitir'!O170</f>
        <v>#DIV/0!</v>
      </c>
      <c r="P760" s="283" t="e">
        <f>'Deuda a emitir'!P170</f>
        <v>#DIV/0!</v>
      </c>
      <c r="Q760" s="718" t="e">
        <f>'Deuda a emitir'!Q170</f>
        <v>#DIV/0!</v>
      </c>
    </row>
    <row r="761" spans="1:17">
      <c r="A761" s="797"/>
      <c r="B761" s="800"/>
      <c r="C761" s="353" t="s">
        <v>220</v>
      </c>
      <c r="D761" s="283"/>
      <c r="E761" s="283"/>
      <c r="F761" s="283">
        <f>'Deuda a emitir'!F316</f>
        <v>0</v>
      </c>
      <c r="G761" s="283" t="e">
        <f>'Deuda a emitir'!G316</f>
        <v>#DIV/0!</v>
      </c>
      <c r="H761" s="283" t="e">
        <f>'Deuda a emitir'!H316</f>
        <v>#DIV/0!</v>
      </c>
      <c r="I761" s="283" t="e">
        <f>'Deuda a emitir'!I316</f>
        <v>#DIV/0!</v>
      </c>
      <c r="J761" s="283" t="e">
        <f>'Deuda a emitir'!J316</f>
        <v>#DIV/0!</v>
      </c>
      <c r="K761" s="283" t="e">
        <f>'Deuda a emitir'!K316</f>
        <v>#DIV/0!</v>
      </c>
      <c r="L761" s="283" t="e">
        <f>'Deuda a emitir'!L316</f>
        <v>#DIV/0!</v>
      </c>
      <c r="M761" s="283" t="e">
        <f>'Deuda a emitir'!M316</f>
        <v>#DIV/0!</v>
      </c>
      <c r="N761" s="283" t="e">
        <f>'Deuda a emitir'!N316</f>
        <v>#DIV/0!</v>
      </c>
      <c r="O761" s="283" t="e">
        <f>'Deuda a emitir'!O316</f>
        <v>#DIV/0!</v>
      </c>
      <c r="P761" s="283" t="e">
        <f>'Deuda a emitir'!P316</f>
        <v>#DIV/0!</v>
      </c>
      <c r="Q761" s="718" t="e">
        <f>'Deuda a emitir'!Q316</f>
        <v>#DIV/0!</v>
      </c>
    </row>
    <row r="762" spans="1:17">
      <c r="A762" s="797"/>
      <c r="B762" s="801"/>
      <c r="C762" s="354" t="s">
        <v>231</v>
      </c>
      <c r="D762" s="355"/>
      <c r="E762" s="355"/>
      <c r="F762" s="355">
        <f t="shared" ref="F762:Q762" si="271">F755+F756-F759</f>
        <v>50290</v>
      </c>
      <c r="G762" s="355" t="e">
        <f t="shared" si="271"/>
        <v>#DIV/0!</v>
      </c>
      <c r="H762" s="355" t="e">
        <f t="shared" si="271"/>
        <v>#DIV/0!</v>
      </c>
      <c r="I762" s="355" t="e">
        <f t="shared" si="271"/>
        <v>#DIV/0!</v>
      </c>
      <c r="J762" s="355" t="e">
        <f t="shared" si="271"/>
        <v>#DIV/0!</v>
      </c>
      <c r="K762" s="355" t="e">
        <f t="shared" si="271"/>
        <v>#DIV/0!</v>
      </c>
      <c r="L762" s="355" t="e">
        <f t="shared" si="271"/>
        <v>#DIV/0!</v>
      </c>
      <c r="M762" s="355" t="e">
        <f t="shared" si="271"/>
        <v>#DIV/0!</v>
      </c>
      <c r="N762" s="355" t="e">
        <f t="shared" si="271"/>
        <v>#DIV/0!</v>
      </c>
      <c r="O762" s="355" t="e">
        <f t="shared" si="271"/>
        <v>#DIV/0!</v>
      </c>
      <c r="P762" s="355" t="e">
        <f t="shared" si="271"/>
        <v>#DIV/0!</v>
      </c>
      <c r="Q762" s="729" t="e">
        <f t="shared" si="271"/>
        <v>#DIV/0!</v>
      </c>
    </row>
    <row r="763" spans="1:17">
      <c r="A763" s="797"/>
      <c r="B763" s="802" t="s">
        <v>232</v>
      </c>
      <c r="C763" s="356" t="s">
        <v>233</v>
      </c>
      <c r="D763" s="357"/>
      <c r="E763" s="357"/>
      <c r="F763" s="357">
        <f>'Deuda a emitir'!F133</f>
        <v>12144</v>
      </c>
      <c r="G763" s="357">
        <f>'Deuda a emitir'!G133</f>
        <v>11444</v>
      </c>
      <c r="H763" s="357">
        <f>'Deuda a emitir'!H133</f>
        <v>0</v>
      </c>
      <c r="I763" s="357">
        <f>'Deuda a emitir'!I133</f>
        <v>0</v>
      </c>
      <c r="J763" s="357">
        <f>'Deuda a emitir'!J133</f>
        <v>0</v>
      </c>
      <c r="K763" s="357">
        <f>'Deuda a emitir'!K133</f>
        <v>0</v>
      </c>
      <c r="L763" s="357">
        <f>'Deuda a emitir'!L133</f>
        <v>0</v>
      </c>
      <c r="M763" s="357">
        <f>'Deuda a emitir'!M133</f>
        <v>0</v>
      </c>
      <c r="N763" s="357">
        <f>'Deuda a emitir'!N133</f>
        <v>0</v>
      </c>
      <c r="O763" s="357">
        <f>'Deuda a emitir'!O133</f>
        <v>0</v>
      </c>
      <c r="P763" s="357">
        <f>'Deuda a emitir'!P133</f>
        <v>0</v>
      </c>
      <c r="Q763" s="718">
        <f>'Deuda a emitir'!Q133</f>
        <v>0</v>
      </c>
    </row>
    <row r="764" spans="1:17">
      <c r="A764" s="797"/>
      <c r="B764" s="803"/>
      <c r="C764" s="353" t="s">
        <v>234</v>
      </c>
      <c r="D764" s="283"/>
      <c r="E764" s="283"/>
      <c r="F764" s="283">
        <f>'Deuda a emitir'!F134</f>
        <v>0</v>
      </c>
      <c r="G764" s="283">
        <f>'Deuda a emitir'!G134</f>
        <v>0</v>
      </c>
      <c r="H764" s="283" t="e">
        <f>'Deuda a emitir'!H134</f>
        <v>#DIV/0!</v>
      </c>
      <c r="I764" s="283" t="e">
        <f>'Deuda a emitir'!I134</f>
        <v>#DIV/0!</v>
      </c>
      <c r="J764" s="283" t="e">
        <f>'Deuda a emitir'!J134</f>
        <v>#DIV/0!</v>
      </c>
      <c r="K764" s="283" t="e">
        <f>'Deuda a emitir'!K134</f>
        <v>#DIV/0!</v>
      </c>
      <c r="L764" s="283" t="e">
        <f>'Deuda a emitir'!L134</f>
        <v>#DIV/0!</v>
      </c>
      <c r="M764" s="283" t="e">
        <f>'Deuda a emitir'!M134</f>
        <v>#DIV/0!</v>
      </c>
      <c r="N764" s="283" t="e">
        <f>'Deuda a emitir'!N134</f>
        <v>#DIV/0!</v>
      </c>
      <c r="O764" s="283" t="e">
        <f>'Deuda a emitir'!O134</f>
        <v>#DIV/0!</v>
      </c>
      <c r="P764" s="283" t="e">
        <f>'Deuda a emitir'!P134</f>
        <v>#DIV/0!</v>
      </c>
      <c r="Q764" s="718" t="e">
        <f>'Deuda a emitir'!Q134</f>
        <v>#DIV/0!</v>
      </c>
    </row>
    <row r="765" spans="1:17">
      <c r="A765" s="797"/>
      <c r="B765" s="804"/>
      <c r="C765" s="354" t="s">
        <v>235</v>
      </c>
      <c r="D765" s="355"/>
      <c r="E765" s="355"/>
      <c r="F765" s="355">
        <f t="shared" ref="F765:P765" si="272">+SUM(F763:F764)</f>
        <v>12144</v>
      </c>
      <c r="G765" s="355">
        <f t="shared" si="272"/>
        <v>11444</v>
      </c>
      <c r="H765" s="355" t="e">
        <f t="shared" si="272"/>
        <v>#DIV/0!</v>
      </c>
      <c r="I765" s="355" t="e">
        <f t="shared" si="272"/>
        <v>#DIV/0!</v>
      </c>
      <c r="J765" s="355" t="e">
        <f t="shared" si="272"/>
        <v>#DIV/0!</v>
      </c>
      <c r="K765" s="355" t="e">
        <f t="shared" si="272"/>
        <v>#DIV/0!</v>
      </c>
      <c r="L765" s="355" t="e">
        <f t="shared" si="272"/>
        <v>#DIV/0!</v>
      </c>
      <c r="M765" s="355" t="e">
        <f t="shared" si="272"/>
        <v>#DIV/0!</v>
      </c>
      <c r="N765" s="355" t="e">
        <f t="shared" si="272"/>
        <v>#DIV/0!</v>
      </c>
      <c r="O765" s="355" t="e">
        <f t="shared" si="272"/>
        <v>#DIV/0!</v>
      </c>
      <c r="P765" s="355" t="e">
        <f t="shared" si="272"/>
        <v>#DIV/0!</v>
      </c>
      <c r="Q765" s="729" t="e">
        <f t="shared" ref="Q765" si="273">+SUM(Q763:Q764)</f>
        <v>#DIV/0!</v>
      </c>
    </row>
    <row r="766" spans="1:17">
      <c r="A766" s="797"/>
      <c r="B766" s="799" t="s">
        <v>223</v>
      </c>
      <c r="C766" s="358" t="s">
        <v>228</v>
      </c>
      <c r="D766" s="350"/>
      <c r="E766" s="350"/>
      <c r="F766" s="350">
        <f>'Deuda a emitir'!F127</f>
        <v>0</v>
      </c>
      <c r="G766" s="350">
        <f>'Deuda a emitir'!G127</f>
        <v>0</v>
      </c>
      <c r="H766" s="350">
        <f>'Deuda a emitir'!H127</f>
        <v>0</v>
      </c>
      <c r="I766" s="350">
        <f>'Deuda a emitir'!I127</f>
        <v>0</v>
      </c>
      <c r="J766" s="350">
        <f>'Deuda a emitir'!J127</f>
        <v>0</v>
      </c>
      <c r="K766" s="350">
        <f>'Deuda a emitir'!K127</f>
        <v>0</v>
      </c>
      <c r="L766" s="350">
        <f>'Deuda a emitir'!L127</f>
        <v>0</v>
      </c>
      <c r="M766" s="350">
        <f>'Deuda a emitir'!M127</f>
        <v>0</v>
      </c>
      <c r="N766" s="350">
        <f>'Deuda a emitir'!N127</f>
        <v>0</v>
      </c>
      <c r="O766" s="350">
        <f>'Deuda a emitir'!O127</f>
        <v>0</v>
      </c>
      <c r="P766" s="350">
        <f>'Deuda a emitir'!P127</f>
        <v>0</v>
      </c>
      <c r="Q766" s="722">
        <f>'Deuda a emitir'!Q127</f>
        <v>0</v>
      </c>
    </row>
    <row r="767" spans="1:17">
      <c r="A767" s="797"/>
      <c r="B767" s="800"/>
      <c r="C767" s="352" t="s">
        <v>229</v>
      </c>
      <c r="D767" s="37"/>
      <c r="E767" s="37"/>
      <c r="F767" s="37">
        <f>'Deuda a emitir'!F128</f>
        <v>0</v>
      </c>
      <c r="G767" s="37" t="e">
        <f>'Deuda a emitir'!G128</f>
        <v>#DIV/0!</v>
      </c>
      <c r="H767" s="37" t="e">
        <f>'Deuda a emitir'!H128</f>
        <v>#DIV/0!</v>
      </c>
      <c r="I767" s="37" t="e">
        <f>'Deuda a emitir'!I128</f>
        <v>#DIV/0!</v>
      </c>
      <c r="J767" s="37" t="e">
        <f>'Deuda a emitir'!J128</f>
        <v>#DIV/0!</v>
      </c>
      <c r="K767" s="37" t="e">
        <f>'Deuda a emitir'!K128</f>
        <v>#DIV/0!</v>
      </c>
      <c r="L767" s="37" t="e">
        <f>'Deuda a emitir'!L128</f>
        <v>#DIV/0!</v>
      </c>
      <c r="M767" s="37" t="e">
        <f>'Deuda a emitir'!M128</f>
        <v>#DIV/0!</v>
      </c>
      <c r="N767" s="37" t="e">
        <f>'Deuda a emitir'!N128</f>
        <v>#DIV/0!</v>
      </c>
      <c r="O767" s="37" t="e">
        <f>'Deuda a emitir'!O128</f>
        <v>#DIV/0!</v>
      </c>
      <c r="P767" s="37" t="e">
        <f>'Deuda a emitir'!P128</f>
        <v>#DIV/0!</v>
      </c>
      <c r="Q767" s="722" t="e">
        <f>'Deuda a emitir'!Q128</f>
        <v>#DIV/0!</v>
      </c>
    </row>
    <row r="768" spans="1:17">
      <c r="A768" s="797"/>
      <c r="B768" s="800"/>
      <c r="C768" s="353" t="s">
        <v>224</v>
      </c>
      <c r="D768" s="283"/>
      <c r="E768" s="283"/>
      <c r="F768" s="283">
        <f>'Deuda a emitir'!F470</f>
        <v>0</v>
      </c>
      <c r="G768" s="283" t="e">
        <f>'Deuda a emitir'!G470</f>
        <v>#DIV/0!</v>
      </c>
      <c r="H768" s="283" t="e">
        <f>'Deuda a emitir'!H470</f>
        <v>#DIV/0!</v>
      </c>
      <c r="I768" s="283" t="e">
        <f>'Deuda a emitir'!I470</f>
        <v>#DIV/0!</v>
      </c>
      <c r="J768" s="283" t="e">
        <f>'Deuda a emitir'!J470</f>
        <v>#DIV/0!</v>
      </c>
      <c r="K768" s="283" t="e">
        <f>'Deuda a emitir'!K470</f>
        <v>#DIV/0!</v>
      </c>
      <c r="L768" s="283" t="e">
        <f>'Deuda a emitir'!L470</f>
        <v>#DIV/0!</v>
      </c>
      <c r="M768" s="283" t="e">
        <f>'Deuda a emitir'!M470</f>
        <v>#DIV/0!</v>
      </c>
      <c r="N768" s="283" t="e">
        <f>'Deuda a emitir'!N470</f>
        <v>#DIV/0!</v>
      </c>
      <c r="O768" s="283" t="e">
        <f>'Deuda a emitir'!O470</f>
        <v>#DIV/0!</v>
      </c>
      <c r="P768" s="283" t="e">
        <f>'Deuda a emitir'!P470</f>
        <v>#DIV/0!</v>
      </c>
      <c r="Q768" s="718" t="e">
        <f>'Deuda a emitir'!Q470</f>
        <v>#DIV/0!</v>
      </c>
    </row>
    <row r="769" spans="1:17">
      <c r="A769" s="797"/>
      <c r="B769" s="800"/>
      <c r="C769" s="353" t="s">
        <v>225</v>
      </c>
      <c r="D769" s="283"/>
      <c r="E769" s="283"/>
      <c r="F769" s="283">
        <f>'Deuda a emitir'!F590</f>
        <v>0</v>
      </c>
      <c r="G769" s="283" t="e">
        <f>'Deuda a emitir'!G590</f>
        <v>#DIV/0!</v>
      </c>
      <c r="H769" s="283" t="e">
        <f>'Deuda a emitir'!H590</f>
        <v>#DIV/0!</v>
      </c>
      <c r="I769" s="283" t="e">
        <f>'Deuda a emitir'!I590</f>
        <v>#DIV/0!</v>
      </c>
      <c r="J769" s="283" t="e">
        <f>'Deuda a emitir'!J590</f>
        <v>#DIV/0!</v>
      </c>
      <c r="K769" s="283" t="e">
        <f>'Deuda a emitir'!K590</f>
        <v>#DIV/0!</v>
      </c>
      <c r="L769" s="283" t="e">
        <f>'Deuda a emitir'!L590</f>
        <v>#DIV/0!</v>
      </c>
      <c r="M769" s="283" t="e">
        <f>'Deuda a emitir'!M590</f>
        <v>#DIV/0!</v>
      </c>
      <c r="N769" s="283" t="e">
        <f>'Deuda a emitir'!N590</f>
        <v>#DIV/0!</v>
      </c>
      <c r="O769" s="283" t="e">
        <f>'Deuda a emitir'!O590</f>
        <v>#DIV/0!</v>
      </c>
      <c r="P769" s="283" t="e">
        <f>'Deuda a emitir'!P590</f>
        <v>#DIV/0!</v>
      </c>
      <c r="Q769" s="718" t="e">
        <f>'Deuda a emitir'!Q590</f>
        <v>#DIV/0!</v>
      </c>
    </row>
    <row r="770" spans="1:17">
      <c r="A770" s="798"/>
      <c r="B770" s="801"/>
      <c r="C770" s="354" t="s">
        <v>236</v>
      </c>
      <c r="D770" s="355"/>
      <c r="E770" s="355"/>
      <c r="F770" s="355">
        <f t="shared" ref="F770:Q770" si="274">SUM(F766:F767)</f>
        <v>0</v>
      </c>
      <c r="G770" s="355" t="e">
        <f>SUM(G766:G767)</f>
        <v>#DIV/0!</v>
      </c>
      <c r="H770" s="355" t="e">
        <f t="shared" si="274"/>
        <v>#DIV/0!</v>
      </c>
      <c r="I770" s="355" t="e">
        <f t="shared" si="274"/>
        <v>#DIV/0!</v>
      </c>
      <c r="J770" s="355" t="e">
        <f t="shared" si="274"/>
        <v>#DIV/0!</v>
      </c>
      <c r="K770" s="355" t="e">
        <f t="shared" si="274"/>
        <v>#DIV/0!</v>
      </c>
      <c r="L770" s="355" t="e">
        <f t="shared" si="274"/>
        <v>#DIV/0!</v>
      </c>
      <c r="M770" s="355" t="e">
        <f t="shared" si="274"/>
        <v>#DIV/0!</v>
      </c>
      <c r="N770" s="355" t="e">
        <f t="shared" si="274"/>
        <v>#DIV/0!</v>
      </c>
      <c r="O770" s="355" t="e">
        <f t="shared" si="274"/>
        <v>#DIV/0!</v>
      </c>
      <c r="P770" s="355" t="e">
        <f t="shared" si="274"/>
        <v>#DIV/0!</v>
      </c>
      <c r="Q770" s="730" t="e">
        <f t="shared" si="274"/>
        <v>#DIV/0!</v>
      </c>
    </row>
    <row r="771" spans="1:17">
      <c r="A771" s="348"/>
      <c r="B771" s="348"/>
      <c r="C771" s="182"/>
      <c r="D771" s="359"/>
      <c r="E771" s="737"/>
      <c r="F771" s="359"/>
      <c r="G771" s="359"/>
      <c r="H771" s="359"/>
      <c r="I771" s="359"/>
      <c r="J771" s="359"/>
      <c r="K771" s="359"/>
      <c r="L771" s="359"/>
      <c r="M771" s="359"/>
      <c r="N771" s="359"/>
      <c r="O771" s="359"/>
      <c r="P771" s="359"/>
      <c r="Q771" s="359"/>
    </row>
    <row r="772" spans="1:17">
      <c r="A772" s="796" t="s">
        <v>237</v>
      </c>
      <c r="B772" s="805" t="s">
        <v>218</v>
      </c>
      <c r="C772" s="360" t="s">
        <v>228</v>
      </c>
      <c r="D772" s="595"/>
      <c r="E772" s="595">
        <f>'Deuda GNC'!Z12</f>
        <v>508992.31382733502</v>
      </c>
      <c r="F772" s="350">
        <f t="shared" ref="F772:Q772" si="275">F773+F774</f>
        <v>508992.31382733502</v>
      </c>
      <c r="G772" s="350">
        <f t="shared" si="275"/>
        <v>508992.31382733502</v>
      </c>
      <c r="H772" s="350">
        <f t="shared" si="275"/>
        <v>478370.301784335</v>
      </c>
      <c r="I772" s="350">
        <f t="shared" si="275"/>
        <v>434015.73022906139</v>
      </c>
      <c r="J772" s="350">
        <f t="shared" si="275"/>
        <v>400271.22091606137</v>
      </c>
      <c r="K772" s="350">
        <f t="shared" si="275"/>
        <v>381705.69093685556</v>
      </c>
      <c r="L772" s="350">
        <f t="shared" si="275"/>
        <v>359368.56312185561</v>
      </c>
      <c r="M772" s="350">
        <f t="shared" si="275"/>
        <v>324423.02206685557</v>
      </c>
      <c r="N772" s="350">
        <f t="shared" si="275"/>
        <v>296469.52456685557</v>
      </c>
      <c r="O772" s="350">
        <f t="shared" si="275"/>
        <v>258207.52266447237</v>
      </c>
      <c r="P772" s="350">
        <f t="shared" si="275"/>
        <v>230472.24736447237</v>
      </c>
      <c r="Q772" s="724">
        <f t="shared" si="275"/>
        <v>196288.90333910275</v>
      </c>
    </row>
    <row r="773" spans="1:17">
      <c r="A773" s="797"/>
      <c r="B773" s="806"/>
      <c r="C773" s="182" t="s">
        <v>219</v>
      </c>
      <c r="D773" s="313"/>
      <c r="E773" s="313">
        <f>E772-E774</f>
        <v>338295.06412733503</v>
      </c>
      <c r="F773" s="283">
        <f>E773-F734</f>
        <v>338295.06412733503</v>
      </c>
      <c r="G773" s="313">
        <f t="shared" ref="G773:Q773" si="276">F773-G734</f>
        <v>338295.06412733503</v>
      </c>
      <c r="H773" s="313">
        <f t="shared" si="276"/>
        <v>307673.05208433501</v>
      </c>
      <c r="I773" s="313">
        <f t="shared" si="276"/>
        <v>287130.33052602503</v>
      </c>
      <c r="J773" s="313">
        <f t="shared" si="276"/>
        <v>253385.82121302502</v>
      </c>
      <c r="K773" s="283">
        <f t="shared" si="276"/>
        <v>253582.352750741</v>
      </c>
      <c r="L773" s="283">
        <f t="shared" si="276"/>
        <v>231245.22493574102</v>
      </c>
      <c r="M773" s="283">
        <f t="shared" si="276"/>
        <v>196299.68388074101</v>
      </c>
      <c r="N773" s="283">
        <f t="shared" si="276"/>
        <v>168346.18638074101</v>
      </c>
      <c r="O773" s="283">
        <f t="shared" si="276"/>
        <v>145900.1830769426</v>
      </c>
      <c r="P773" s="283">
        <f t="shared" si="276"/>
        <v>118164.90777694259</v>
      </c>
      <c r="Q773" s="718">
        <f t="shared" si="276"/>
        <v>118180.42872690738</v>
      </c>
    </row>
    <row r="774" spans="1:17">
      <c r="A774" s="797"/>
      <c r="B774" s="806"/>
      <c r="C774" s="182" t="s">
        <v>220</v>
      </c>
      <c r="D774" s="313"/>
      <c r="E774" s="313">
        <f>E795*'Deuda a emitir'!E13/1000</f>
        <v>170697.24969999999</v>
      </c>
      <c r="F774" s="283">
        <f>F795*'Deuda a emitir'!F13/1000</f>
        <v>170697.24969999999</v>
      </c>
      <c r="G774" s="313">
        <f>G795*'Deuda a emitir'!G13/1000</f>
        <v>170697.24969999999</v>
      </c>
      <c r="H774" s="313">
        <f>H795*'Deuda a emitir'!H13/1000</f>
        <v>170697.24969999999</v>
      </c>
      <c r="I774" s="313">
        <f>I795*'Deuda a emitir'!I13/1000</f>
        <v>146885.39970303635</v>
      </c>
      <c r="J774" s="313">
        <f>J795*'Deuda a emitir'!J13/1000</f>
        <v>146885.39970303635</v>
      </c>
      <c r="K774" s="283">
        <f>K795*'Deuda a emitir'!K13/1000</f>
        <v>128123.33818611458</v>
      </c>
      <c r="L774" s="283">
        <f>L795*'Deuda a emitir'!L13/1000</f>
        <v>128123.33818611458</v>
      </c>
      <c r="M774" s="283">
        <f>M795*'Deuda a emitir'!M13/1000</f>
        <v>128123.33818611458</v>
      </c>
      <c r="N774" s="283">
        <f>N795*'Deuda a emitir'!N13/1000</f>
        <v>128123.33818611458</v>
      </c>
      <c r="O774" s="283">
        <f>O795*'Deuda a emitir'!O13/1000</f>
        <v>112307.33958752977</v>
      </c>
      <c r="P774" s="283">
        <f>P795*'Deuda a emitir'!P13/1000</f>
        <v>112307.33958752977</v>
      </c>
      <c r="Q774" s="718">
        <f>Q795*'Deuda a emitir'!Q13/1000</f>
        <v>78108.474612195379</v>
      </c>
    </row>
    <row r="775" spans="1:17">
      <c r="A775" s="797"/>
      <c r="B775" s="806"/>
      <c r="C775" s="244" t="s">
        <v>229</v>
      </c>
      <c r="D775" s="288"/>
      <c r="E775" s="288"/>
      <c r="F775" s="37">
        <f t="shared" ref="F775:P775" si="277">SUM(F776:F777)</f>
        <v>0</v>
      </c>
      <c r="G775" s="288" t="e">
        <f t="shared" si="277"/>
        <v>#DIV/0!</v>
      </c>
      <c r="H775" s="288" t="e">
        <f t="shared" si="277"/>
        <v>#DIV/0!</v>
      </c>
      <c r="I775" s="288" t="e">
        <f t="shared" si="277"/>
        <v>#DIV/0!</v>
      </c>
      <c r="J775" s="288" t="e">
        <f t="shared" si="277"/>
        <v>#DIV/0!</v>
      </c>
      <c r="K775" s="37" t="e">
        <f t="shared" si="277"/>
        <v>#DIV/0!</v>
      </c>
      <c r="L775" s="37" t="e">
        <f t="shared" si="277"/>
        <v>#DIV/0!</v>
      </c>
      <c r="M775" s="37" t="e">
        <f t="shared" si="277"/>
        <v>#DIV/0!</v>
      </c>
      <c r="N775" s="37" t="e">
        <f t="shared" si="277"/>
        <v>#DIV/0!</v>
      </c>
      <c r="O775" s="37" t="e">
        <f t="shared" si="277"/>
        <v>#DIV/0!</v>
      </c>
      <c r="P775" s="37" t="e">
        <f t="shared" si="277"/>
        <v>#DIV/0!</v>
      </c>
      <c r="Q775" s="722" t="e">
        <f t="shared" ref="Q775" si="278">SUM(Q776:Q777)</f>
        <v>#DIV/0!</v>
      </c>
    </row>
    <row r="776" spans="1:17">
      <c r="A776" s="797"/>
      <c r="B776" s="806"/>
      <c r="C776" s="182" t="s">
        <v>219</v>
      </c>
      <c r="D776" s="283"/>
      <c r="E776" s="313"/>
      <c r="F776" s="283">
        <f>SUM($E740:F740)-SUM($E737:F737)</f>
        <v>0</v>
      </c>
      <c r="G776" s="313" t="e">
        <f>SUM($E740:G740)-SUM($E737:G737)</f>
        <v>#DIV/0!</v>
      </c>
      <c r="H776" s="313" t="e">
        <f>SUM($E740:H740)-SUM($E737:H737)</f>
        <v>#DIV/0!</v>
      </c>
      <c r="I776" s="313" t="e">
        <f>SUM($E740:I740)-SUM($E737:I737)</f>
        <v>#DIV/0!</v>
      </c>
      <c r="J776" s="313" t="e">
        <f>SUM($E740:J740)-SUM($E737:J737)</f>
        <v>#DIV/0!</v>
      </c>
      <c r="K776" s="283" t="e">
        <f>SUM($E740:K740)-SUM($E737:K737)</f>
        <v>#DIV/0!</v>
      </c>
      <c r="L776" s="283" t="e">
        <f>SUM($E740:L740)-SUM($E737:L737)</f>
        <v>#DIV/0!</v>
      </c>
      <c r="M776" s="283" t="e">
        <f>SUM($E740:M740)-SUM($E737:M737)</f>
        <v>#DIV/0!</v>
      </c>
      <c r="N776" s="283" t="e">
        <f>SUM($E740:N740)-SUM($E737:N737)</f>
        <v>#DIV/0!</v>
      </c>
      <c r="O776" s="283" t="e">
        <f>SUM($E740:O740)-SUM($E737:O737)</f>
        <v>#DIV/0!</v>
      </c>
      <c r="P776" s="283" t="e">
        <f>SUM($E740:P740)-SUM($E737:P737)</f>
        <v>#DIV/0!</v>
      </c>
      <c r="Q776" s="718" t="e">
        <f>SUM($E740:Q740)-SUM($E737:Q737)</f>
        <v>#DIV/0!</v>
      </c>
    </row>
    <row r="777" spans="1:17">
      <c r="A777" s="797"/>
      <c r="B777" s="806"/>
      <c r="C777" s="182" t="s">
        <v>220</v>
      </c>
      <c r="D777" s="283"/>
      <c r="E777" s="283"/>
      <c r="F777" s="283">
        <f>F796*'Deuda a emitir'!F13/1000</f>
        <v>0</v>
      </c>
      <c r="G777" s="283" t="e">
        <f>G796*'Deuda a emitir'!G13/1000</f>
        <v>#DIV/0!</v>
      </c>
      <c r="H777" s="283" t="e">
        <f>H796*'Deuda a emitir'!H13/1000</f>
        <v>#DIV/0!</v>
      </c>
      <c r="I777" s="283" t="e">
        <f>I796*'Deuda a emitir'!I13/1000</f>
        <v>#DIV/0!</v>
      </c>
      <c r="J777" s="283" t="e">
        <f>J796*'Deuda a emitir'!J13/1000</f>
        <v>#DIV/0!</v>
      </c>
      <c r="K777" s="283" t="e">
        <f>K796*'Deuda a emitir'!K13/1000</f>
        <v>#DIV/0!</v>
      </c>
      <c r="L777" s="283" t="e">
        <f>L796*'Deuda a emitir'!L13/1000</f>
        <v>#DIV/0!</v>
      </c>
      <c r="M777" s="283" t="e">
        <f>M796*'Deuda a emitir'!M13/1000</f>
        <v>#DIV/0!</v>
      </c>
      <c r="N777" s="283" t="e">
        <f>N796*'Deuda a emitir'!N13/1000</f>
        <v>#DIV/0!</v>
      </c>
      <c r="O777" s="283" t="e">
        <f>O796*'Deuda a emitir'!O13/1000</f>
        <v>#DIV/0!</v>
      </c>
      <c r="P777" s="283" t="e">
        <f>P796*'Deuda a emitir'!P13/1000</f>
        <v>#DIV/0!</v>
      </c>
      <c r="Q777" s="718" t="e">
        <f>Q796*'Deuda a emitir'!Q13/1000</f>
        <v>#DIV/0!</v>
      </c>
    </row>
    <row r="778" spans="1:17">
      <c r="A778" s="797"/>
      <c r="B778" s="806"/>
      <c r="C778" s="244" t="s">
        <v>238</v>
      </c>
      <c r="D778" s="37"/>
      <c r="E778" s="37"/>
      <c r="F778" s="37">
        <v>0</v>
      </c>
      <c r="G778" s="37">
        <v>0</v>
      </c>
      <c r="H778" s="37">
        <v>0</v>
      </c>
      <c r="I778" s="37">
        <v>0</v>
      </c>
      <c r="J778" s="37">
        <v>0</v>
      </c>
      <c r="K778" s="37">
        <v>0</v>
      </c>
      <c r="L778" s="37">
        <v>0</v>
      </c>
      <c r="M778" s="37">
        <v>0</v>
      </c>
      <c r="N778" s="37">
        <v>0</v>
      </c>
      <c r="O778" s="37">
        <v>0</v>
      </c>
      <c r="P778" s="37">
        <v>0</v>
      </c>
      <c r="Q778" s="722">
        <v>0</v>
      </c>
    </row>
    <row r="779" spans="1:17">
      <c r="A779" s="797"/>
      <c r="B779" s="807"/>
      <c r="C779" s="361" t="s">
        <v>239</v>
      </c>
      <c r="D779" s="362"/>
      <c r="E779" s="362">
        <f t="shared" ref="E779:Q779" si="279">E772+E775</f>
        <v>508992.31382733502</v>
      </c>
      <c r="F779" s="362">
        <f>F772+F775</f>
        <v>508992.31382733502</v>
      </c>
      <c r="G779" s="362" t="e">
        <f t="shared" si="279"/>
        <v>#DIV/0!</v>
      </c>
      <c r="H779" s="362" t="e">
        <f>H772+H775</f>
        <v>#DIV/0!</v>
      </c>
      <c r="I779" s="362" t="e">
        <f t="shared" si="279"/>
        <v>#DIV/0!</v>
      </c>
      <c r="J779" s="362" t="e">
        <f t="shared" si="279"/>
        <v>#DIV/0!</v>
      </c>
      <c r="K779" s="362" t="e">
        <f t="shared" si="279"/>
        <v>#DIV/0!</v>
      </c>
      <c r="L779" s="362" t="e">
        <f t="shared" si="279"/>
        <v>#DIV/0!</v>
      </c>
      <c r="M779" s="362" t="e">
        <f t="shared" si="279"/>
        <v>#DIV/0!</v>
      </c>
      <c r="N779" s="362" t="e">
        <f t="shared" si="279"/>
        <v>#DIV/0!</v>
      </c>
      <c r="O779" s="362" t="e">
        <f t="shared" si="279"/>
        <v>#DIV/0!</v>
      </c>
      <c r="P779" s="362" t="e">
        <f t="shared" si="279"/>
        <v>#DIV/0!</v>
      </c>
      <c r="Q779" s="719" t="e">
        <f t="shared" si="279"/>
        <v>#DIV/0!</v>
      </c>
    </row>
    <row r="780" spans="1:17">
      <c r="A780" s="797"/>
      <c r="B780" s="805" t="s">
        <v>223</v>
      </c>
      <c r="C780" s="360" t="s">
        <v>228</v>
      </c>
      <c r="D780" s="595"/>
      <c r="E780" s="595">
        <f>'Deuda GNC'!Z13</f>
        <v>306707.69571847492</v>
      </c>
      <c r="F780" s="350" t="e">
        <f>+F784*'Deuda a emitir'!F14/1000</f>
        <v>#DIV/0!</v>
      </c>
      <c r="G780" s="350" t="e">
        <f>+G784*'Deuda a emitir'!G14/1000</f>
        <v>#DIV/0!</v>
      </c>
      <c r="H780" s="350" t="e">
        <f>+H784*'Deuda a emitir'!H14/1000</f>
        <v>#DIV/0!</v>
      </c>
      <c r="I780" s="350" t="e">
        <f>+I784*'Deuda a emitir'!I14/1000</f>
        <v>#DIV/0!</v>
      </c>
      <c r="J780" s="350" t="e">
        <f>+J784*'Deuda a emitir'!J14/1000</f>
        <v>#DIV/0!</v>
      </c>
      <c r="K780" s="350" t="e">
        <f>+K784*'Deuda a emitir'!K14/1000</f>
        <v>#DIV/0!</v>
      </c>
      <c r="L780" s="350" t="e">
        <f>+L784*'Deuda a emitir'!L14/1000</f>
        <v>#DIV/0!</v>
      </c>
      <c r="M780" s="350" t="e">
        <f>+M784*'Deuda a emitir'!M14/1000</f>
        <v>#DIV/0!</v>
      </c>
      <c r="N780" s="350" t="e">
        <f>+N784*'Deuda a emitir'!N14/1000</f>
        <v>#DIV/0!</v>
      </c>
      <c r="O780" s="350" t="e">
        <f>+O784*'Deuda a emitir'!O14/1000</f>
        <v>#DIV/0!</v>
      </c>
      <c r="P780" s="350" t="e">
        <f>+P784*'Deuda a emitir'!P14/1000</f>
        <v>#DIV/0!</v>
      </c>
      <c r="Q780" s="722" t="e">
        <f>+Q784*'Deuda a emitir'!Q14/1000</f>
        <v>#DIV/0!</v>
      </c>
    </row>
    <row r="781" spans="1:17">
      <c r="A781" s="797"/>
      <c r="B781" s="806"/>
      <c r="C781" s="244" t="s">
        <v>229</v>
      </c>
      <c r="D781" s="37"/>
      <c r="E781" s="37"/>
      <c r="F781" s="37" t="e">
        <f>+F785*'Deuda a emitir'!F14/1000</f>
        <v>#DIV/0!</v>
      </c>
      <c r="G781" s="37" t="e">
        <f>+G785*'Deuda a emitir'!G14/1000</f>
        <v>#DIV/0!</v>
      </c>
      <c r="H781" s="37" t="e">
        <f>+H785*'Deuda a emitir'!H14/1000</f>
        <v>#DIV/0!</v>
      </c>
      <c r="I781" s="37" t="e">
        <f>+I785*'Deuda a emitir'!I14/1000</f>
        <v>#DIV/0!</v>
      </c>
      <c r="J781" s="37" t="e">
        <f>+J785*'Deuda a emitir'!J14/1000</f>
        <v>#DIV/0!</v>
      </c>
      <c r="K781" s="37" t="e">
        <f>+K785*'Deuda a emitir'!K14/1000</f>
        <v>#DIV/0!</v>
      </c>
      <c r="L781" s="37" t="e">
        <f>+L785*'Deuda a emitir'!L14/1000</f>
        <v>#DIV/0!</v>
      </c>
      <c r="M781" s="37" t="e">
        <f>+M785*'Deuda a emitir'!M14/1000</f>
        <v>#DIV/0!</v>
      </c>
      <c r="N781" s="37" t="e">
        <f>+N785*'Deuda a emitir'!N14/1000</f>
        <v>#DIV/0!</v>
      </c>
      <c r="O781" s="37" t="e">
        <f>+O785*'Deuda a emitir'!O14/1000</f>
        <v>#DIV/0!</v>
      </c>
      <c r="P781" s="37" t="e">
        <f>+P785*'Deuda a emitir'!P14/1000</f>
        <v>#DIV/0!</v>
      </c>
      <c r="Q781" s="722" t="e">
        <f>+Q785*'Deuda a emitir'!Q14/1000</f>
        <v>#DIV/0!</v>
      </c>
    </row>
    <row r="782" spans="1:17">
      <c r="A782" s="798"/>
      <c r="B782" s="807"/>
      <c r="C782" s="361" t="s">
        <v>240</v>
      </c>
      <c r="D782" s="362"/>
      <c r="E782" s="362">
        <f t="shared" ref="E782:P782" si="280">+SUM(E780:E781)</f>
        <v>306707.69571847492</v>
      </c>
      <c r="F782" s="362" t="e">
        <f t="shared" si="280"/>
        <v>#DIV/0!</v>
      </c>
      <c r="G782" s="362" t="e">
        <f t="shared" si="280"/>
        <v>#DIV/0!</v>
      </c>
      <c r="H782" s="362" t="e">
        <f t="shared" si="280"/>
        <v>#DIV/0!</v>
      </c>
      <c r="I782" s="362" t="e">
        <f t="shared" si="280"/>
        <v>#DIV/0!</v>
      </c>
      <c r="J782" s="362" t="e">
        <f t="shared" si="280"/>
        <v>#DIV/0!</v>
      </c>
      <c r="K782" s="362" t="e">
        <f t="shared" si="280"/>
        <v>#DIV/0!</v>
      </c>
      <c r="L782" s="362" t="e">
        <f t="shared" si="280"/>
        <v>#DIV/0!</v>
      </c>
      <c r="M782" s="362" t="e">
        <f t="shared" si="280"/>
        <v>#DIV/0!</v>
      </c>
      <c r="N782" s="362" t="e">
        <f t="shared" si="280"/>
        <v>#DIV/0!</v>
      </c>
      <c r="O782" s="362" t="e">
        <f t="shared" si="280"/>
        <v>#DIV/0!</v>
      </c>
      <c r="P782" s="362" t="e">
        <f t="shared" si="280"/>
        <v>#DIV/0!</v>
      </c>
      <c r="Q782" s="725" t="e">
        <f t="shared" ref="Q782" si="281">+SUM(Q780:Q781)</f>
        <v>#DIV/0!</v>
      </c>
    </row>
    <row r="783" spans="1:17">
      <c r="A783" s="348"/>
      <c r="B783" s="348"/>
      <c r="C783" s="182"/>
      <c r="D783" s="182"/>
      <c r="E783" s="182"/>
      <c r="F783" s="182"/>
      <c r="G783" s="182"/>
      <c r="H783" s="283"/>
      <c r="I783" s="182"/>
      <c r="J783" s="182"/>
      <c r="K783" s="182"/>
      <c r="L783" s="182"/>
      <c r="M783" s="182"/>
      <c r="N783" s="182"/>
      <c r="O783" s="182"/>
      <c r="P783" s="182"/>
      <c r="Q783" s="182"/>
    </row>
    <row r="784" spans="1:17">
      <c r="A784" s="790" t="s">
        <v>241</v>
      </c>
      <c r="B784" s="793" t="s">
        <v>223</v>
      </c>
      <c r="C784" s="363" t="s">
        <v>228</v>
      </c>
      <c r="D784" s="596"/>
      <c r="E784" s="596">
        <v>80246.908260874377</v>
      </c>
      <c r="F784" s="357" t="e">
        <f>E784-F788</f>
        <v>#DIV/0!</v>
      </c>
      <c r="G784" s="357" t="e">
        <f t="shared" ref="G784:Q784" si="282">F784-G788</f>
        <v>#DIV/0!</v>
      </c>
      <c r="H784" s="357" t="e">
        <f t="shared" si="282"/>
        <v>#DIV/0!</v>
      </c>
      <c r="I784" s="357" t="e">
        <f t="shared" si="282"/>
        <v>#DIV/0!</v>
      </c>
      <c r="J784" s="357" t="e">
        <f t="shared" si="282"/>
        <v>#DIV/0!</v>
      </c>
      <c r="K784" s="357" t="e">
        <f t="shared" si="282"/>
        <v>#DIV/0!</v>
      </c>
      <c r="L784" s="357" t="e">
        <f t="shared" si="282"/>
        <v>#DIV/0!</v>
      </c>
      <c r="M784" s="357" t="e">
        <f t="shared" si="282"/>
        <v>#DIV/0!</v>
      </c>
      <c r="N784" s="357" t="e">
        <f t="shared" si="282"/>
        <v>#DIV/0!</v>
      </c>
      <c r="O784" s="357" t="e">
        <f t="shared" si="282"/>
        <v>#DIV/0!</v>
      </c>
      <c r="P784" s="357" t="e">
        <f t="shared" si="282"/>
        <v>#DIV/0!</v>
      </c>
      <c r="Q784" s="717" t="e">
        <f t="shared" si="282"/>
        <v>#DIV/0!</v>
      </c>
    </row>
    <row r="785" spans="1:17">
      <c r="A785" s="791"/>
      <c r="B785" s="794"/>
      <c r="C785" s="182" t="s">
        <v>229</v>
      </c>
      <c r="D785" s="364"/>
      <c r="E785" s="283"/>
      <c r="F785" s="283" t="e">
        <f>E785+F789-F790</f>
        <v>#DIV/0!</v>
      </c>
      <c r="G785" s="283" t="e">
        <f t="shared" ref="G785:Q785" si="283">F785+G789-G790</f>
        <v>#DIV/0!</v>
      </c>
      <c r="H785" s="283" t="e">
        <f t="shared" si="283"/>
        <v>#DIV/0!</v>
      </c>
      <c r="I785" s="283" t="e">
        <f t="shared" si="283"/>
        <v>#DIV/0!</v>
      </c>
      <c r="J785" s="283" t="e">
        <f t="shared" si="283"/>
        <v>#DIV/0!</v>
      </c>
      <c r="K785" s="283" t="e">
        <f t="shared" si="283"/>
        <v>#DIV/0!</v>
      </c>
      <c r="L785" s="283" t="e">
        <f t="shared" si="283"/>
        <v>#DIV/0!</v>
      </c>
      <c r="M785" s="283" t="e">
        <f t="shared" si="283"/>
        <v>#DIV/0!</v>
      </c>
      <c r="N785" s="283" t="e">
        <f t="shared" si="283"/>
        <v>#DIV/0!</v>
      </c>
      <c r="O785" s="283" t="e">
        <f t="shared" si="283"/>
        <v>#DIV/0!</v>
      </c>
      <c r="P785" s="283" t="e">
        <f t="shared" si="283"/>
        <v>#DIV/0!</v>
      </c>
      <c r="Q785" s="718" t="e">
        <f t="shared" si="283"/>
        <v>#DIV/0!</v>
      </c>
    </row>
    <row r="786" spans="1:17">
      <c r="A786" s="791"/>
      <c r="B786" s="794"/>
      <c r="C786" s="182" t="s">
        <v>242</v>
      </c>
      <c r="D786" s="283"/>
      <c r="E786" s="283"/>
      <c r="F786" s="283">
        <v>0</v>
      </c>
      <c r="G786" s="283">
        <v>0</v>
      </c>
      <c r="H786" s="283">
        <v>0</v>
      </c>
      <c r="I786" s="283">
        <v>0</v>
      </c>
      <c r="J786" s="283">
        <v>0</v>
      </c>
      <c r="K786" s="283">
        <v>0</v>
      </c>
      <c r="L786" s="283">
        <v>0</v>
      </c>
      <c r="M786" s="283">
        <v>0</v>
      </c>
      <c r="N786" s="283">
        <v>0</v>
      </c>
      <c r="O786" s="283">
        <v>0</v>
      </c>
      <c r="P786" s="283">
        <v>0</v>
      </c>
      <c r="Q786" s="718">
        <v>0</v>
      </c>
    </row>
    <row r="787" spans="1:17">
      <c r="A787" s="791"/>
      <c r="B787" s="794"/>
      <c r="C787" s="365" t="s">
        <v>240</v>
      </c>
      <c r="D787" s="366"/>
      <c r="E787" s="366">
        <f t="shared" ref="E787:P787" si="284">+SUM(E784:E786)</f>
        <v>80246.908260874377</v>
      </c>
      <c r="F787" s="366" t="e">
        <f t="shared" si="284"/>
        <v>#DIV/0!</v>
      </c>
      <c r="G787" s="366" t="e">
        <f t="shared" si="284"/>
        <v>#DIV/0!</v>
      </c>
      <c r="H787" s="366" t="e">
        <f t="shared" si="284"/>
        <v>#DIV/0!</v>
      </c>
      <c r="I787" s="366" t="e">
        <f t="shared" si="284"/>
        <v>#DIV/0!</v>
      </c>
      <c r="J787" s="366" t="e">
        <f t="shared" si="284"/>
        <v>#DIV/0!</v>
      </c>
      <c r="K787" s="366" t="e">
        <f t="shared" si="284"/>
        <v>#DIV/0!</v>
      </c>
      <c r="L787" s="366" t="e">
        <f t="shared" si="284"/>
        <v>#DIV/0!</v>
      </c>
      <c r="M787" s="366" t="e">
        <f t="shared" si="284"/>
        <v>#DIV/0!</v>
      </c>
      <c r="N787" s="366" t="e">
        <f t="shared" si="284"/>
        <v>#DIV/0!</v>
      </c>
      <c r="O787" s="366" t="e">
        <f t="shared" si="284"/>
        <v>#DIV/0!</v>
      </c>
      <c r="P787" s="366" t="e">
        <f t="shared" si="284"/>
        <v>#DIV/0!</v>
      </c>
      <c r="Q787" s="719" t="e">
        <f t="shared" ref="Q787" si="285">+SUM(Q784:Q786)</f>
        <v>#DIV/0!</v>
      </c>
    </row>
    <row r="788" spans="1:17">
      <c r="A788" s="791"/>
      <c r="B788" s="794"/>
      <c r="C788" s="182" t="s">
        <v>243</v>
      </c>
      <c r="D788" s="313"/>
      <c r="E788" s="313">
        <f>('Deuda a emitir'!E467+'Deuda a emitir'!E587)*1000</f>
        <v>0</v>
      </c>
      <c r="F788" s="313" t="e">
        <f>('Deuda a emitir'!F467+'Deuda a emitir'!F587)*1000</f>
        <v>#DIV/0!</v>
      </c>
      <c r="G788" s="313" t="e">
        <f>('Deuda a emitir'!G467+'Deuda a emitir'!G587)*1000</f>
        <v>#DIV/0!</v>
      </c>
      <c r="H788" s="313" t="e">
        <f>('Deuda a emitir'!H467+'Deuda a emitir'!H587)*1000</f>
        <v>#DIV/0!</v>
      </c>
      <c r="I788" s="313" t="e">
        <f>('Deuda a emitir'!I467+'Deuda a emitir'!I587)*1000</f>
        <v>#DIV/0!</v>
      </c>
      <c r="J788" s="313" t="e">
        <f>('Deuda a emitir'!J467+'Deuda a emitir'!J587)*1000</f>
        <v>#DIV/0!</v>
      </c>
      <c r="K788" s="313" t="e">
        <f>('Deuda a emitir'!K467+'Deuda a emitir'!K587)*1000</f>
        <v>#DIV/0!</v>
      </c>
      <c r="L788" s="313" t="e">
        <f>('Deuda a emitir'!L467+'Deuda a emitir'!L587)*1000</f>
        <v>#DIV/0!</v>
      </c>
      <c r="M788" s="313" t="e">
        <f>('Deuda a emitir'!M467+'Deuda a emitir'!M587)*1000</f>
        <v>#DIV/0!</v>
      </c>
      <c r="N788" s="313" t="e">
        <f>('Deuda a emitir'!N467+'Deuda a emitir'!N587)*1000</f>
        <v>#DIV/0!</v>
      </c>
      <c r="O788" s="313" t="e">
        <f>('Deuda a emitir'!O467+'Deuda a emitir'!O587)*1000</f>
        <v>#DIV/0!</v>
      </c>
      <c r="P788" s="313" t="e">
        <f>('Deuda a emitir'!P467+'Deuda a emitir'!P587)*1000</f>
        <v>#DIV/0!</v>
      </c>
      <c r="Q788" s="720" t="e">
        <f>('Deuda a emitir'!Q467+'Deuda a emitir'!Q587)*1000</f>
        <v>#DIV/0!</v>
      </c>
    </row>
    <row r="789" spans="1:17">
      <c r="A789" s="791"/>
      <c r="B789" s="794"/>
      <c r="C789" s="182" t="s">
        <v>244</v>
      </c>
      <c r="D789" s="283"/>
      <c r="E789" s="283">
        <f>('Deuda a emitir'!E468+'Deuda a emitir'!E588)*1000</f>
        <v>0</v>
      </c>
      <c r="F789" s="283" t="e">
        <f>('Deuda a emitir'!F468+'Deuda a emitir'!F588)*1000</f>
        <v>#DIV/0!</v>
      </c>
      <c r="G789" s="283" t="e">
        <f>('Deuda a emitir'!G468+'Deuda a emitir'!G588)*1000</f>
        <v>#DIV/0!</v>
      </c>
      <c r="H789" s="283" t="e">
        <f>('Deuda a emitir'!H468+'Deuda a emitir'!H588)*1000</f>
        <v>#DIV/0!</v>
      </c>
      <c r="I789" s="283" t="e">
        <f>('Deuda a emitir'!I468+'Deuda a emitir'!I588)*1000</f>
        <v>#DIV/0!</v>
      </c>
      <c r="J789" s="283" t="e">
        <f>('Deuda a emitir'!J468+'Deuda a emitir'!J588)*1000</f>
        <v>#DIV/0!</v>
      </c>
      <c r="K789" s="283" t="e">
        <f>('Deuda a emitir'!K468+'Deuda a emitir'!K588)*1000</f>
        <v>#DIV/0!</v>
      </c>
      <c r="L789" s="283" t="e">
        <f>('Deuda a emitir'!L468+'Deuda a emitir'!L588)*1000</f>
        <v>#DIV/0!</v>
      </c>
      <c r="M789" s="283" t="e">
        <f>('Deuda a emitir'!M468+'Deuda a emitir'!M588)*1000</f>
        <v>#DIV/0!</v>
      </c>
      <c r="N789" s="283" t="e">
        <f>('Deuda a emitir'!N468+'Deuda a emitir'!N588)*1000</f>
        <v>#DIV/0!</v>
      </c>
      <c r="O789" s="283" t="e">
        <f>('Deuda a emitir'!O468+'Deuda a emitir'!O588)*1000</f>
        <v>#DIV/0!</v>
      </c>
      <c r="P789" s="283" t="e">
        <f>('Deuda a emitir'!P468+'Deuda a emitir'!P588)*1000</f>
        <v>#DIV/0!</v>
      </c>
      <c r="Q789" s="718" t="e">
        <f>('Deuda a emitir'!Q468+'Deuda a emitir'!Q588)*1000</f>
        <v>#DIV/0!</v>
      </c>
    </row>
    <row r="790" spans="1:17">
      <c r="A790" s="791"/>
      <c r="B790" s="794"/>
      <c r="C790" s="182" t="s">
        <v>210</v>
      </c>
      <c r="D790" s="283"/>
      <c r="E790" s="283">
        <f>('Deuda a emitir'!E473+'Deuda a emitir'!E593)*1000</f>
        <v>0</v>
      </c>
      <c r="F790" s="283">
        <f>('Deuda a emitir'!F473+'Deuda a emitir'!F593)*1000</f>
        <v>0</v>
      </c>
      <c r="G790" s="283">
        <f>('Deuda a emitir'!G473+'Deuda a emitir'!G593)*1000</f>
        <v>0</v>
      </c>
      <c r="H790" s="283">
        <f>('Deuda a emitir'!H473+'Deuda a emitir'!H593)*1000</f>
        <v>0</v>
      </c>
      <c r="I790" s="283">
        <f>('Deuda a emitir'!I473+'Deuda a emitir'!I593)*1000</f>
        <v>0</v>
      </c>
      <c r="J790" s="283">
        <f>('Deuda a emitir'!J473+'Deuda a emitir'!J593)*1000</f>
        <v>0</v>
      </c>
      <c r="K790" s="283" t="e">
        <f>('Deuda a emitir'!K473+'Deuda a emitir'!K593)*1000</f>
        <v>#DIV/0!</v>
      </c>
      <c r="L790" s="283" t="e">
        <f>('Deuda a emitir'!L473+'Deuda a emitir'!L593)*1000</f>
        <v>#DIV/0!</v>
      </c>
      <c r="M790" s="283" t="e">
        <f>('Deuda a emitir'!M473+'Deuda a emitir'!M593)*1000</f>
        <v>#DIV/0!</v>
      </c>
      <c r="N790" s="283" t="e">
        <f>('Deuda a emitir'!N473+'Deuda a emitir'!N593)*1000</f>
        <v>#DIV/0!</v>
      </c>
      <c r="O790" s="283" t="e">
        <f>('Deuda a emitir'!O473+'Deuda a emitir'!O593)*1000</f>
        <v>#DIV/0!</v>
      </c>
      <c r="P790" s="283" t="e">
        <f>('Deuda a emitir'!P473+'Deuda a emitir'!P593)*1000</f>
        <v>#DIV/0!</v>
      </c>
      <c r="Q790" s="718" t="e">
        <f>('Deuda a emitir'!Q473+'Deuda a emitir'!Q593)*1000</f>
        <v>#DIV/0!</v>
      </c>
    </row>
    <row r="791" spans="1:17">
      <c r="A791" s="791"/>
      <c r="B791" s="794"/>
      <c r="C791" s="244" t="s">
        <v>245</v>
      </c>
      <c r="D791" s="37"/>
      <c r="E791" s="37">
        <f t="shared" ref="E791:Q791" si="286">+E789-E788-E790</f>
        <v>0</v>
      </c>
      <c r="F791" s="37" t="e">
        <f t="shared" si="286"/>
        <v>#DIV/0!</v>
      </c>
      <c r="G791" s="37" t="e">
        <f t="shared" si="286"/>
        <v>#DIV/0!</v>
      </c>
      <c r="H791" s="37" t="e">
        <f t="shared" si="286"/>
        <v>#DIV/0!</v>
      </c>
      <c r="I791" s="37" t="e">
        <f t="shared" si="286"/>
        <v>#DIV/0!</v>
      </c>
      <c r="J791" s="37" t="e">
        <f t="shared" si="286"/>
        <v>#DIV/0!</v>
      </c>
      <c r="K791" s="37" t="e">
        <f t="shared" si="286"/>
        <v>#DIV/0!</v>
      </c>
      <c r="L791" s="37" t="e">
        <f t="shared" si="286"/>
        <v>#DIV/0!</v>
      </c>
      <c r="M791" s="37" t="e">
        <f t="shared" si="286"/>
        <v>#DIV/0!</v>
      </c>
      <c r="N791" s="37" t="e">
        <f t="shared" si="286"/>
        <v>#DIV/0!</v>
      </c>
      <c r="O791" s="37" t="e">
        <f t="shared" si="286"/>
        <v>#DIV/0!</v>
      </c>
      <c r="P791" s="37" t="e">
        <f t="shared" si="286"/>
        <v>#DIV/0!</v>
      </c>
      <c r="Q791" s="722" t="e">
        <f t="shared" si="286"/>
        <v>#DIV/0!</v>
      </c>
    </row>
    <row r="792" spans="1:17">
      <c r="A792" s="792"/>
      <c r="B792" s="795"/>
      <c r="C792" s="249" t="s">
        <v>246</v>
      </c>
      <c r="D792" s="342"/>
      <c r="E792" s="342">
        <f>'Deuda GNC'!Z36*1000/'Deuda a emitir'!E16</f>
        <v>3177.8649189171711</v>
      </c>
      <c r="F792" s="342" t="e">
        <f>'Deuda GNC'!AA36*1000/'Deuda a emitir'!F16</f>
        <v>#DIV/0!</v>
      </c>
      <c r="G792" s="342" t="e">
        <f>'Deuda GNC'!AB36*1000/'Deuda a emitir'!G16</f>
        <v>#DIV/0!</v>
      </c>
      <c r="H792" s="342" t="e">
        <f>'Deuda GNC'!AC36*1000/'Deuda a emitir'!H16</f>
        <v>#DIV/0!</v>
      </c>
      <c r="I792" s="342" t="e">
        <f>'Deuda GNC'!AD36*1000/'Deuda a emitir'!I16</f>
        <v>#DIV/0!</v>
      </c>
      <c r="J792" s="342" t="e">
        <f>'Deuda GNC'!AE36*1000/'Deuda a emitir'!J16</f>
        <v>#DIV/0!</v>
      </c>
      <c r="K792" s="342" t="e">
        <f>'Deuda GNC'!AF36*1000/'Deuda a emitir'!K16</f>
        <v>#DIV/0!</v>
      </c>
      <c r="L792" s="342" t="e">
        <f>'Deuda GNC'!AG36*1000/'Deuda a emitir'!L16</f>
        <v>#DIV/0!</v>
      </c>
      <c r="M792" s="342" t="e">
        <f>'Deuda GNC'!AH36*1000/'Deuda a emitir'!M16</f>
        <v>#DIV/0!</v>
      </c>
      <c r="N792" s="342" t="e">
        <f>'Deuda GNC'!AI36*1000/'Deuda a emitir'!N16</f>
        <v>#DIV/0!</v>
      </c>
      <c r="O792" s="342" t="e">
        <f>'Deuda GNC'!AJ36*1000/'Deuda a emitir'!O16</f>
        <v>#DIV/0!</v>
      </c>
      <c r="P792" s="342" t="e">
        <f>'Deuda GNC'!AK36*1000/'Deuda a emitir'!P16</f>
        <v>#DIV/0!</v>
      </c>
      <c r="Q792" s="723" t="e">
        <f>'Deuda GNC'!AL36*1000/'Deuda a emitir'!Q16</f>
        <v>#DIV/0!</v>
      </c>
    </row>
    <row r="793" spans="1:17">
      <c r="A793" s="348"/>
      <c r="B793" s="348"/>
      <c r="C793" s="182"/>
      <c r="D793" s="182"/>
      <c r="E793" s="182"/>
      <c r="F793" s="182"/>
      <c r="G793" s="182"/>
      <c r="H793" s="182"/>
      <c r="I793" s="182"/>
      <c r="J793" s="182"/>
      <c r="K793" s="182"/>
      <c r="L793" s="182"/>
      <c r="M793" s="182"/>
      <c r="N793" s="182"/>
      <c r="O793" s="182"/>
      <c r="P793" s="182"/>
      <c r="Q793" s="182"/>
    </row>
    <row r="794" spans="1:17">
      <c r="A794" s="348"/>
      <c r="B794" s="348"/>
      <c r="C794" s="182"/>
      <c r="D794" s="359"/>
      <c r="E794" s="359"/>
      <c r="F794" s="359"/>
      <c r="G794" s="359"/>
      <c r="H794" s="359"/>
      <c r="I794" s="359"/>
      <c r="J794" s="359"/>
      <c r="K794" s="359"/>
      <c r="L794" s="359"/>
      <c r="M794" s="359"/>
      <c r="N794" s="359"/>
      <c r="O794" s="359"/>
      <c r="P794" s="359"/>
      <c r="Q794" s="359"/>
    </row>
    <row r="795" spans="1:17">
      <c r="A795" s="790" t="s">
        <v>247</v>
      </c>
      <c r="B795" s="793" t="s">
        <v>248</v>
      </c>
      <c r="C795" s="363" t="s">
        <v>249</v>
      </c>
      <c r="D795" s="596"/>
      <c r="E795" s="596">
        <f>170697249.7/'Deuda a emitir'!E13</f>
        <v>477031.55193970801</v>
      </c>
      <c r="F795" s="357">
        <f>E795-F799</f>
        <v>477031.55193970801</v>
      </c>
      <c r="G795" s="357">
        <f t="shared" ref="G795:Q795" si="287">F795-G799</f>
        <v>477031.55193970801</v>
      </c>
      <c r="H795" s="357">
        <f>G795-H799</f>
        <v>477031.55193970801</v>
      </c>
      <c r="I795" s="357">
        <f t="shared" si="287"/>
        <v>410486.81393970799</v>
      </c>
      <c r="J795" s="357">
        <f t="shared" si="287"/>
        <v>410486.81393970799</v>
      </c>
      <c r="K795" s="357">
        <f t="shared" si="287"/>
        <v>358054.24493970798</v>
      </c>
      <c r="L795" s="357">
        <f t="shared" si="287"/>
        <v>358054.24493970798</v>
      </c>
      <c r="M795" s="357">
        <f t="shared" si="287"/>
        <v>358054.24493970798</v>
      </c>
      <c r="N795" s="357">
        <f t="shared" si="287"/>
        <v>358054.24493970798</v>
      </c>
      <c r="O795" s="357">
        <f t="shared" si="287"/>
        <v>313854.76093970798</v>
      </c>
      <c r="P795" s="357">
        <f t="shared" si="287"/>
        <v>313854.76093970798</v>
      </c>
      <c r="Q795" s="717">
        <f t="shared" si="287"/>
        <v>218282.40893970797</v>
      </c>
    </row>
    <row r="796" spans="1:17">
      <c r="A796" s="791"/>
      <c r="B796" s="794"/>
      <c r="C796" s="182" t="s">
        <v>229</v>
      </c>
      <c r="D796" s="283"/>
      <c r="E796" s="283">
        <f>+E800-E801</f>
        <v>0</v>
      </c>
      <c r="F796" s="283">
        <f>E796+F800-F801</f>
        <v>0</v>
      </c>
      <c r="G796" s="283" t="e">
        <f t="shared" ref="G796:Q796" si="288">F796+G800-G801</f>
        <v>#DIV/0!</v>
      </c>
      <c r="H796" s="283" t="e">
        <f>G796+H800-H801</f>
        <v>#DIV/0!</v>
      </c>
      <c r="I796" s="283" t="e">
        <f t="shared" si="288"/>
        <v>#DIV/0!</v>
      </c>
      <c r="J796" s="283" t="e">
        <f t="shared" si="288"/>
        <v>#DIV/0!</v>
      </c>
      <c r="K796" s="283" t="e">
        <f t="shared" si="288"/>
        <v>#DIV/0!</v>
      </c>
      <c r="L796" s="283" t="e">
        <f t="shared" si="288"/>
        <v>#DIV/0!</v>
      </c>
      <c r="M796" s="283" t="e">
        <f t="shared" si="288"/>
        <v>#DIV/0!</v>
      </c>
      <c r="N796" s="283" t="e">
        <f t="shared" si="288"/>
        <v>#DIV/0!</v>
      </c>
      <c r="O796" s="283" t="e">
        <f t="shared" si="288"/>
        <v>#DIV/0!</v>
      </c>
      <c r="P796" s="283" t="e">
        <f t="shared" si="288"/>
        <v>#DIV/0!</v>
      </c>
      <c r="Q796" s="718" t="e">
        <f t="shared" si="288"/>
        <v>#DIV/0!</v>
      </c>
    </row>
    <row r="797" spans="1:17">
      <c r="A797" s="791"/>
      <c r="B797" s="794"/>
      <c r="C797" s="182" t="s">
        <v>242</v>
      </c>
      <c r="D797" s="283"/>
      <c r="E797" s="283">
        <v>0</v>
      </c>
      <c r="F797" s="283">
        <v>0</v>
      </c>
      <c r="G797" s="283">
        <v>0</v>
      </c>
      <c r="H797" s="283">
        <v>0</v>
      </c>
      <c r="I797" s="283">
        <v>0</v>
      </c>
      <c r="J797" s="283">
        <v>0</v>
      </c>
      <c r="K797" s="283">
        <v>0</v>
      </c>
      <c r="L797" s="283">
        <v>0</v>
      </c>
      <c r="M797" s="283">
        <v>0</v>
      </c>
      <c r="N797" s="283">
        <v>0</v>
      </c>
      <c r="O797" s="283">
        <v>0</v>
      </c>
      <c r="P797" s="283">
        <v>0</v>
      </c>
      <c r="Q797" s="718">
        <v>0</v>
      </c>
    </row>
    <row r="798" spans="1:17">
      <c r="A798" s="791"/>
      <c r="B798" s="794"/>
      <c r="C798" s="365" t="s">
        <v>250</v>
      </c>
      <c r="D798" s="366"/>
      <c r="E798" s="366">
        <f t="shared" ref="E798:P798" si="289">+SUM(E795:E797)</f>
        <v>477031.55193970801</v>
      </c>
      <c r="F798" s="366">
        <f t="shared" si="289"/>
        <v>477031.55193970801</v>
      </c>
      <c r="G798" s="366" t="e">
        <f t="shared" si="289"/>
        <v>#DIV/0!</v>
      </c>
      <c r="H798" s="366" t="e">
        <f t="shared" si="289"/>
        <v>#DIV/0!</v>
      </c>
      <c r="I798" s="366" t="e">
        <f t="shared" si="289"/>
        <v>#DIV/0!</v>
      </c>
      <c r="J798" s="366" t="e">
        <f t="shared" si="289"/>
        <v>#DIV/0!</v>
      </c>
      <c r="K798" s="366" t="e">
        <f t="shared" si="289"/>
        <v>#DIV/0!</v>
      </c>
      <c r="L798" s="366" t="e">
        <f t="shared" si="289"/>
        <v>#DIV/0!</v>
      </c>
      <c r="M798" s="366" t="e">
        <f t="shared" si="289"/>
        <v>#DIV/0!</v>
      </c>
      <c r="N798" s="366" t="e">
        <f t="shared" si="289"/>
        <v>#DIV/0!</v>
      </c>
      <c r="O798" s="366" t="e">
        <f t="shared" si="289"/>
        <v>#DIV/0!</v>
      </c>
      <c r="P798" s="366" t="e">
        <f t="shared" si="289"/>
        <v>#DIV/0!</v>
      </c>
      <c r="Q798" s="719" t="e">
        <f t="shared" ref="Q798" si="290">+SUM(Q795:Q797)</f>
        <v>#DIV/0!</v>
      </c>
    </row>
    <row r="799" spans="1:17">
      <c r="A799" s="791"/>
      <c r="B799" s="794"/>
      <c r="C799" s="182" t="s">
        <v>251</v>
      </c>
      <c r="D799" s="313"/>
      <c r="E799" s="313">
        <f>'Deuda a emitir'!E308*1000</f>
        <v>0</v>
      </c>
      <c r="F799" s="313">
        <f>F152/F13*1000</f>
        <v>0</v>
      </c>
      <c r="G799" s="313">
        <f>G152/G13*1000</f>
        <v>0</v>
      </c>
      <c r="H799" s="313">
        <f>H152/'Insumos externos'!$H$78</f>
        <v>0</v>
      </c>
      <c r="I799" s="313">
        <f>I152/'Insumos externos'!$H$78*1000</f>
        <v>66544.738000000012</v>
      </c>
      <c r="J799" s="313">
        <f>J152/'Insumos externos'!$H$78*1000</f>
        <v>0</v>
      </c>
      <c r="K799" s="313">
        <f>K152/'Insumos externos'!$H$78*1000</f>
        <v>52432.56900000001</v>
      </c>
      <c r="L799" s="313">
        <f>L152/'Insumos externos'!$H$78*1000</f>
        <v>0</v>
      </c>
      <c r="M799" s="313">
        <f>M152/'Insumos externos'!$H$78*1000</f>
        <v>0</v>
      </c>
      <c r="N799" s="313">
        <f>N152/'Insumos externos'!$H$78*1000</f>
        <v>0</v>
      </c>
      <c r="O799" s="313">
        <f>O152/'Insumos externos'!$H$78*1000</f>
        <v>44199.483999999997</v>
      </c>
      <c r="P799" s="313">
        <f>P152/'Insumos externos'!$H$78*1000</f>
        <v>0</v>
      </c>
      <c r="Q799" s="720">
        <f>Q152/'Insumos externos'!$H$78*1000</f>
        <v>95572.351999999999</v>
      </c>
    </row>
    <row r="800" spans="1:17">
      <c r="A800" s="791"/>
      <c r="B800" s="794"/>
      <c r="C800" s="182" t="s">
        <v>252</v>
      </c>
      <c r="D800" s="283"/>
      <c r="E800" s="313">
        <f>'Deuda a emitir'!E309*1000</f>
        <v>0</v>
      </c>
      <c r="F800" s="283">
        <f>'Deuda a emitir'!F309*1000</f>
        <v>0</v>
      </c>
      <c r="G800" s="283" t="e">
        <f>'Deuda a emitir'!G309*1000</f>
        <v>#DIV/0!</v>
      </c>
      <c r="H800" s="283" t="e">
        <f>'Deuda a emitir'!H309*1000</f>
        <v>#DIV/0!</v>
      </c>
      <c r="I800" s="283" t="e">
        <f>'Deuda a emitir'!I309*1000</f>
        <v>#DIV/0!</v>
      </c>
      <c r="J800" s="283" t="e">
        <f>'Deuda a emitir'!J309*1000</f>
        <v>#DIV/0!</v>
      </c>
      <c r="K800" s="283" t="e">
        <f>'Deuda a emitir'!K309*1000</f>
        <v>#DIV/0!</v>
      </c>
      <c r="L800" s="283" t="e">
        <f>'Deuda a emitir'!L309*1000</f>
        <v>#DIV/0!</v>
      </c>
      <c r="M800" s="283" t="e">
        <f>'Deuda a emitir'!M309*1000</f>
        <v>#DIV/0!</v>
      </c>
      <c r="N800" s="283" t="e">
        <f>'Deuda a emitir'!N309*1000</f>
        <v>#DIV/0!</v>
      </c>
      <c r="O800" s="283" t="e">
        <f>'Deuda a emitir'!O309*1000</f>
        <v>#DIV/0!</v>
      </c>
      <c r="P800" s="283" t="e">
        <f>'Deuda a emitir'!P309*1000</f>
        <v>#DIV/0!</v>
      </c>
      <c r="Q800" s="718" t="e">
        <f>'Deuda a emitir'!Q309*1000</f>
        <v>#DIV/0!</v>
      </c>
    </row>
    <row r="801" spans="1:17">
      <c r="A801" s="791"/>
      <c r="B801" s="794"/>
      <c r="C801" s="182" t="s">
        <v>195</v>
      </c>
      <c r="D801" s="283"/>
      <c r="E801" s="313">
        <f>'Deuda a emitir'!E314*1000</f>
        <v>0</v>
      </c>
      <c r="F801" s="283">
        <f>'Deuda a emitir'!F314*1000</f>
        <v>0</v>
      </c>
      <c r="G801" s="283">
        <f>'Deuda a emitir'!G314*1000</f>
        <v>0</v>
      </c>
      <c r="H801" s="283">
        <f>'Deuda a emitir'!H314*1000</f>
        <v>0</v>
      </c>
      <c r="I801" s="283">
        <f>'Deuda a emitir'!I314*1000</f>
        <v>0</v>
      </c>
      <c r="J801" s="283">
        <f>'Deuda a emitir'!J314*1000</f>
        <v>0</v>
      </c>
      <c r="K801" s="283">
        <f>'Deuda a emitir'!K314*1000</f>
        <v>0</v>
      </c>
      <c r="L801" s="283" t="e">
        <f>'Deuda a emitir'!L314*1000</f>
        <v>#DIV/0!</v>
      </c>
      <c r="M801" s="283" t="e">
        <f>'Deuda a emitir'!M314*1000</f>
        <v>#DIV/0!</v>
      </c>
      <c r="N801" s="283" t="e">
        <f>'Deuda a emitir'!N314*1000</f>
        <v>#DIV/0!</v>
      </c>
      <c r="O801" s="283" t="e">
        <f>'Deuda a emitir'!O314*1000</f>
        <v>#DIV/0!</v>
      </c>
      <c r="P801" s="283" t="e">
        <f>'Deuda a emitir'!P314*1000</f>
        <v>#DIV/0!</v>
      </c>
      <c r="Q801" s="718" t="e">
        <f>'Deuda a emitir'!Q314*1000</f>
        <v>#DIV/0!</v>
      </c>
    </row>
    <row r="802" spans="1:17">
      <c r="A802" s="792"/>
      <c r="B802" s="795"/>
      <c r="C802" s="367" t="s">
        <v>253</v>
      </c>
      <c r="D802" s="347"/>
      <c r="E802" s="347">
        <f t="shared" ref="E802:Q802" si="291">+E800-E799-E801</f>
        <v>0</v>
      </c>
      <c r="F802" s="347">
        <f t="shared" si="291"/>
        <v>0</v>
      </c>
      <c r="G802" s="347" t="e">
        <f t="shared" si="291"/>
        <v>#DIV/0!</v>
      </c>
      <c r="H802" s="347" t="e">
        <f>+H800-H799-H801</f>
        <v>#DIV/0!</v>
      </c>
      <c r="I802" s="347" t="e">
        <f t="shared" si="291"/>
        <v>#DIV/0!</v>
      </c>
      <c r="J802" s="347" t="e">
        <f t="shared" si="291"/>
        <v>#DIV/0!</v>
      </c>
      <c r="K802" s="347" t="e">
        <f t="shared" si="291"/>
        <v>#DIV/0!</v>
      </c>
      <c r="L802" s="347" t="e">
        <f t="shared" si="291"/>
        <v>#DIV/0!</v>
      </c>
      <c r="M802" s="347" t="e">
        <f t="shared" si="291"/>
        <v>#DIV/0!</v>
      </c>
      <c r="N802" s="347" t="e">
        <f t="shared" si="291"/>
        <v>#DIV/0!</v>
      </c>
      <c r="O802" s="347" t="e">
        <f t="shared" si="291"/>
        <v>#DIV/0!</v>
      </c>
      <c r="P802" s="347" t="e">
        <f t="shared" si="291"/>
        <v>#DIV/0!</v>
      </c>
      <c r="Q802" s="721" t="e">
        <f t="shared" si="291"/>
        <v>#DIV/0!</v>
      </c>
    </row>
    <row r="804" spans="1:17">
      <c r="F804" s="31"/>
      <c r="G804" s="134"/>
      <c r="H804" s="134"/>
      <c r="I804" s="134"/>
      <c r="J804" s="134"/>
      <c r="K804" s="134"/>
      <c r="L804" s="134"/>
      <c r="M804" s="134"/>
      <c r="N804" s="134"/>
      <c r="O804" s="134"/>
      <c r="P804" s="134"/>
      <c r="Q804" s="134"/>
    </row>
  </sheetData>
  <mergeCells count="38">
    <mergeCell ref="A4:Q4"/>
    <mergeCell ref="A784:A792"/>
    <mergeCell ref="B784:B792"/>
    <mergeCell ref="A795:A802"/>
    <mergeCell ref="B795:B802"/>
    <mergeCell ref="A755:A770"/>
    <mergeCell ref="B755:B762"/>
    <mergeCell ref="B763:B765"/>
    <mergeCell ref="B766:B770"/>
    <mergeCell ref="A772:A782"/>
    <mergeCell ref="B772:B779"/>
    <mergeCell ref="B780:B782"/>
    <mergeCell ref="A730:A753"/>
    <mergeCell ref="B730:B741"/>
    <mergeCell ref="B742:B753"/>
    <mergeCell ref="B86:B89"/>
    <mergeCell ref="B90:B101"/>
    <mergeCell ref="B102:B103"/>
    <mergeCell ref="B104:B105"/>
    <mergeCell ref="B106:B107"/>
    <mergeCell ref="B108:B109"/>
    <mergeCell ref="B110:B111"/>
    <mergeCell ref="B112:B113"/>
    <mergeCell ref="B114:B118"/>
    <mergeCell ref="B119:B120"/>
    <mergeCell ref="A729:C729"/>
    <mergeCell ref="B74:B85"/>
    <mergeCell ref="B8:B9"/>
    <mergeCell ref="B10:B11"/>
    <mergeCell ref="B14:B17"/>
    <mergeCell ref="B18:B20"/>
    <mergeCell ref="B21:B23"/>
    <mergeCell ref="B24:B28"/>
    <mergeCell ref="B29:B44"/>
    <mergeCell ref="B45:B49"/>
    <mergeCell ref="B50:B65"/>
    <mergeCell ref="B66:B68"/>
    <mergeCell ref="B69:B73"/>
  </mergeCells>
  <hyperlinks>
    <hyperlink ref="F1" location="'Deuda a emitir'!B5" display="Supuestos" xr:uid="{5EBB4E02-579E-3445-B36D-73A0D426394C}"/>
    <hyperlink ref="G1" location="'Deuda a emitir'!B123" display="Deuda a emitir" xr:uid="{AF3E8271-EC17-0C47-9649-F529BE41E9ED}"/>
    <hyperlink ref="H1" location="'Deuda a emitir'!C163" display="TES COP" xr:uid="{013B122F-0450-B941-8D43-A34ACB5C6FE1}"/>
    <hyperlink ref="I1" location="'Deuda a emitir'!C301" display="TES UVR" xr:uid="{4FDFAA51-9622-CF46-BC9B-5F17E0441690}"/>
    <hyperlink ref="J1" location="'Deuda a emitir'!C462" display="Bonos" xr:uid="{B64C9018-AADA-0C45-8F9F-C56443DE8165}"/>
    <hyperlink ref="K1" location="'Deuda a emitir'!C581" display="Multilaterales" xr:uid="{6785BC72-E08D-1845-A421-30E5F666A7D6}"/>
    <hyperlink ref="L1" location="'Deuda a emitir'!C730" display="Deuda total" xr:uid="{6C2A6FE8-E20F-0F4B-87A0-A7ACD2FEBC50}"/>
    <hyperlink ref="O1" location="'Insumos externos'!A1" display="Insumos externos" xr:uid="{DBDBB074-6556-3A4E-A204-6BE0C66ED4F4}"/>
    <hyperlink ref="P1" location="'Deuda a emitir'!A1" display="Deuda a emitir" xr:uid="{6324FDEE-AC72-5D43-BA28-515EC9C529B5}"/>
    <hyperlink ref="Q1" location="'Deuda GNC'!A1" display="Deuda GNC" xr:uid="{646F8B12-E803-9543-881D-1D50E59DB21F}"/>
    <hyperlink ref="R1" location="'Gráficos deuda'!A1" display="Gráficos de deuda" xr:uid="{CA1D20AC-9E74-D94E-B309-E761C65DEA60}"/>
    <hyperlink ref="S1" location="'Cumplimiento de la regla'!A1" display="Cumplimiento de la regla" xr:uid="{C94AA4B5-6728-1546-876C-E0639D900A03}"/>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AE76-2013-3746-9DCE-79936DC1A8BA}">
  <sheetPr>
    <tabColor theme="9"/>
  </sheetPr>
  <dimension ref="A1:BB214"/>
  <sheetViews>
    <sheetView zoomScale="90" zoomScaleNormal="70" workbookViewId="0">
      <pane xSplit="1" ySplit="2" topLeftCell="U115" activePane="bottomRight" state="frozen"/>
      <selection activeCell="D106" sqref="D106:O106"/>
      <selection pane="topRight" activeCell="D106" sqref="D106:O106"/>
      <selection pane="bottomLeft" activeCell="D106" sqref="D106:O106"/>
      <selection pane="bottomRight" activeCell="Z138" sqref="Z138"/>
    </sheetView>
  </sheetViews>
  <sheetFormatPr baseColWidth="10" defaultColWidth="10.83203125" defaultRowHeight="15"/>
  <cols>
    <col min="1" max="1" width="48.6640625" style="2" customWidth="1"/>
    <col min="2" max="4" width="7.83203125" style="2" bestFit="1" customWidth="1"/>
    <col min="5" max="9" width="8.1640625" style="2" bestFit="1" customWidth="1"/>
    <col min="10" max="10" width="8.83203125" style="2" bestFit="1" customWidth="1"/>
    <col min="11" max="11" width="8.83203125" style="2" customWidth="1"/>
    <col min="12" max="25" width="8.83203125" style="2" bestFit="1" customWidth="1"/>
    <col min="26" max="26" width="10.1640625" style="2" customWidth="1"/>
    <col min="27" max="34" width="9.33203125" style="2" customWidth="1"/>
    <col min="35" max="38" width="10" style="2" bestFit="1" customWidth="1"/>
    <col min="39" max="39" width="14.83203125" style="2" customWidth="1"/>
    <col min="40" max="41" width="10" style="2" customWidth="1"/>
    <col min="42" max="16384" width="10.83203125" style="2"/>
  </cols>
  <sheetData>
    <row r="1" spans="1:38" ht="21">
      <c r="A1" s="368" t="s">
        <v>254</v>
      </c>
    </row>
    <row r="2" spans="1:38">
      <c r="B2" s="369">
        <v>36525</v>
      </c>
      <c r="C2" s="369">
        <v>36891</v>
      </c>
      <c r="D2" s="369">
        <v>37256</v>
      </c>
      <c r="E2" s="369">
        <v>37621</v>
      </c>
      <c r="F2" s="369">
        <v>37986</v>
      </c>
      <c r="G2" s="369">
        <v>38352</v>
      </c>
      <c r="H2" s="369">
        <v>38717</v>
      </c>
      <c r="I2" s="369">
        <v>39082</v>
      </c>
      <c r="J2" s="369">
        <v>39447</v>
      </c>
      <c r="K2" s="369">
        <v>39813</v>
      </c>
      <c r="L2" s="369">
        <v>40178</v>
      </c>
      <c r="M2" s="369">
        <v>40543</v>
      </c>
      <c r="N2" s="369">
        <v>40908</v>
      </c>
      <c r="O2" s="369">
        <v>41274</v>
      </c>
      <c r="P2" s="369">
        <v>41639</v>
      </c>
      <c r="Q2" s="369">
        <v>42004</v>
      </c>
      <c r="R2" s="369">
        <v>42369</v>
      </c>
      <c r="S2" s="369">
        <v>42735</v>
      </c>
      <c r="T2" s="369">
        <v>43100</v>
      </c>
      <c r="U2" s="369">
        <v>43465</v>
      </c>
      <c r="V2" s="369">
        <v>43830</v>
      </c>
      <c r="W2" s="369">
        <v>44196</v>
      </c>
      <c r="X2" s="369">
        <v>44561</v>
      </c>
      <c r="Y2" s="369">
        <v>44926</v>
      </c>
      <c r="Z2" s="394">
        <v>45291</v>
      </c>
      <c r="AA2" s="369">
        <v>45657</v>
      </c>
      <c r="AB2" s="369">
        <v>46022</v>
      </c>
      <c r="AC2" s="369">
        <v>46387</v>
      </c>
      <c r="AD2" s="369">
        <v>46752</v>
      </c>
      <c r="AE2" s="369">
        <v>47118</v>
      </c>
      <c r="AF2" s="369">
        <v>47483</v>
      </c>
      <c r="AG2" s="369">
        <v>47848</v>
      </c>
      <c r="AH2" s="369">
        <v>48213</v>
      </c>
      <c r="AI2" s="369">
        <v>48579</v>
      </c>
      <c r="AJ2" s="369">
        <v>48944</v>
      </c>
      <c r="AK2" s="369">
        <v>49309</v>
      </c>
      <c r="AL2" s="369">
        <v>49310</v>
      </c>
    </row>
    <row r="3" spans="1:38" ht="21">
      <c r="A3" s="368" t="s">
        <v>255</v>
      </c>
      <c r="B3" s="31"/>
      <c r="C3" s="31"/>
      <c r="D3" s="31"/>
      <c r="E3" s="31"/>
      <c r="F3" s="31"/>
      <c r="G3" s="31"/>
      <c r="H3" s="31"/>
      <c r="I3" s="31"/>
      <c r="J3" s="31"/>
      <c r="K3" s="31"/>
      <c r="L3" s="31"/>
      <c r="M3" s="31"/>
      <c r="N3" s="31"/>
      <c r="U3" s="370"/>
      <c r="V3" s="370"/>
      <c r="W3" s="371"/>
      <c r="X3" s="371"/>
      <c r="Y3" s="371"/>
      <c r="Z3" s="80"/>
      <c r="AA3" s="80"/>
      <c r="AB3" s="80"/>
      <c r="AC3" s="80"/>
      <c r="AD3" s="80"/>
      <c r="AE3" s="80"/>
      <c r="AF3" s="80"/>
      <c r="AG3" s="80"/>
      <c r="AH3" s="80"/>
      <c r="AI3" s="80"/>
      <c r="AJ3" s="80"/>
      <c r="AK3" s="80"/>
      <c r="AL3" s="80"/>
    </row>
    <row r="4" spans="1:38" ht="18">
      <c r="A4" s="372" t="s">
        <v>256</v>
      </c>
      <c r="B4" s="31"/>
      <c r="C4" s="31"/>
      <c r="D4" s="31"/>
      <c r="E4" s="31"/>
      <c r="F4" s="31"/>
      <c r="G4" s="31"/>
      <c r="H4" s="31"/>
      <c r="I4" s="31"/>
      <c r="J4" s="31"/>
      <c r="K4" s="31"/>
      <c r="L4" s="31"/>
      <c r="M4" s="31"/>
      <c r="N4" s="31"/>
      <c r="V4" s="370"/>
      <c r="W4" s="188"/>
      <c r="X4" s="188"/>
      <c r="Y4" s="370"/>
      <c r="Z4" s="80"/>
      <c r="AD4" s="373"/>
      <c r="AE4" s="373"/>
      <c r="AF4" s="373"/>
      <c r="AG4" s="373"/>
      <c r="AH4" s="373"/>
      <c r="AI4" s="373"/>
      <c r="AJ4" s="373"/>
      <c r="AK4" s="373"/>
      <c r="AL4" s="373"/>
    </row>
    <row r="5" spans="1:38" s="175" customFormat="1">
      <c r="A5" s="374" t="s">
        <v>20</v>
      </c>
      <c r="B5" s="369">
        <v>36525</v>
      </c>
      <c r="C5" s="369">
        <v>36891</v>
      </c>
      <c r="D5" s="369">
        <v>37256</v>
      </c>
      <c r="E5" s="369">
        <v>37621</v>
      </c>
      <c r="F5" s="369">
        <v>37986</v>
      </c>
      <c r="G5" s="369">
        <v>38352</v>
      </c>
      <c r="H5" s="369">
        <v>38717</v>
      </c>
      <c r="I5" s="369">
        <v>39082</v>
      </c>
      <c r="J5" s="369">
        <v>39447</v>
      </c>
      <c r="K5" s="369">
        <v>39813</v>
      </c>
      <c r="L5" s="369">
        <v>40178</v>
      </c>
      <c r="M5" s="369">
        <v>40543</v>
      </c>
      <c r="N5" s="369">
        <v>40908</v>
      </c>
      <c r="O5" s="369">
        <v>41274</v>
      </c>
      <c r="P5" s="369">
        <v>41639</v>
      </c>
      <c r="Q5" s="369">
        <v>42004</v>
      </c>
      <c r="R5" s="369">
        <v>42369</v>
      </c>
      <c r="S5" s="369">
        <v>42735</v>
      </c>
      <c r="T5" s="369">
        <v>43100</v>
      </c>
      <c r="U5" s="369">
        <v>43465</v>
      </c>
      <c r="V5" s="369">
        <v>43830</v>
      </c>
      <c r="W5" s="369">
        <v>44196</v>
      </c>
      <c r="X5" s="369">
        <v>44561</v>
      </c>
      <c r="Y5" s="369">
        <v>44926</v>
      </c>
      <c r="Z5" s="394">
        <v>45291</v>
      </c>
      <c r="AA5" s="369">
        <v>45657</v>
      </c>
      <c r="AB5" s="369">
        <v>46022</v>
      </c>
      <c r="AC5" s="369">
        <v>46387</v>
      </c>
      <c r="AD5" s="369">
        <v>46752</v>
      </c>
      <c r="AE5" s="369">
        <v>47118</v>
      </c>
      <c r="AF5" s="369">
        <v>47483</v>
      </c>
      <c r="AG5" s="369">
        <v>47848</v>
      </c>
      <c r="AH5" s="369">
        <v>48213</v>
      </c>
      <c r="AI5" s="369">
        <v>48579</v>
      </c>
      <c r="AJ5" s="369">
        <v>48944</v>
      </c>
      <c r="AK5" s="369">
        <v>49309</v>
      </c>
      <c r="AL5" s="369">
        <v>49310</v>
      </c>
    </row>
    <row r="6" spans="1:38" s="175" customFormat="1">
      <c r="A6" s="375" t="s">
        <v>257</v>
      </c>
      <c r="B6" s="376">
        <f t="shared" ref="B6:AL6" si="0">B8+B10</f>
        <v>52436.440379085994</v>
      </c>
      <c r="C6" s="376">
        <f t="shared" si="0"/>
        <v>74652.464660582933</v>
      </c>
      <c r="D6" s="376">
        <f t="shared" si="0"/>
        <v>90674.014807161147</v>
      </c>
      <c r="E6" s="376">
        <f t="shared" si="0"/>
        <v>112114.2723718363</v>
      </c>
      <c r="F6" s="376">
        <f t="shared" si="0"/>
        <v>124126.654702328</v>
      </c>
      <c r="G6" s="376">
        <f t="shared" si="0"/>
        <v>130787.39212659255</v>
      </c>
      <c r="H6" s="376">
        <f t="shared" si="0"/>
        <v>144191.72517182369</v>
      </c>
      <c r="I6" s="376">
        <f t="shared" si="0"/>
        <v>153690.81568474308</v>
      </c>
      <c r="J6" s="376">
        <f t="shared" si="0"/>
        <v>156552.28226055013</v>
      </c>
      <c r="K6" s="376">
        <f t="shared" si="0"/>
        <v>171837.89713462582</v>
      </c>
      <c r="L6" s="376">
        <f t="shared" si="0"/>
        <v>190117.12290669352</v>
      </c>
      <c r="M6" s="376">
        <f t="shared" si="0"/>
        <v>209124.47856704172</v>
      </c>
      <c r="N6" s="376">
        <f t="shared" si="0"/>
        <v>224612.54235486183</v>
      </c>
      <c r="O6" s="376">
        <f t="shared" si="0"/>
        <v>227933.2464024646</v>
      </c>
      <c r="P6" s="376">
        <f t="shared" si="0"/>
        <v>261683.22690775365</v>
      </c>
      <c r="Q6" s="376">
        <f t="shared" si="0"/>
        <v>304392.36913933704</v>
      </c>
      <c r="R6" s="376">
        <f t="shared" si="0"/>
        <v>358993.51614454051</v>
      </c>
      <c r="S6" s="376">
        <f t="shared" si="0"/>
        <v>394117.87251310091</v>
      </c>
      <c r="T6" s="376">
        <f t="shared" si="0"/>
        <v>426911.12459872628</v>
      </c>
      <c r="U6" s="376">
        <f t="shared" si="0"/>
        <v>487269.11935541237</v>
      </c>
      <c r="V6" s="376">
        <f t="shared" si="0"/>
        <v>533683.34442603984</v>
      </c>
      <c r="W6" s="376">
        <f t="shared" si="0"/>
        <v>649352.76056916965</v>
      </c>
      <c r="X6" s="376">
        <f t="shared" si="0"/>
        <v>751051.45547132462</v>
      </c>
      <c r="Y6" s="376">
        <f t="shared" si="0"/>
        <v>894183.5870392652</v>
      </c>
      <c r="Z6" s="553">
        <f t="shared" si="0"/>
        <v>891882.28923452611</v>
      </c>
      <c r="AA6" s="377" t="e">
        <f t="shared" si="0"/>
        <v>#DIV/0!</v>
      </c>
      <c r="AB6" s="377" t="e">
        <f t="shared" si="0"/>
        <v>#DIV/0!</v>
      </c>
      <c r="AC6" s="377" t="e">
        <f t="shared" si="0"/>
        <v>#DIV/0!</v>
      </c>
      <c r="AD6" s="377" t="e">
        <f t="shared" si="0"/>
        <v>#DIV/0!</v>
      </c>
      <c r="AE6" s="377" t="e">
        <f t="shared" si="0"/>
        <v>#DIV/0!</v>
      </c>
      <c r="AF6" s="377" t="e">
        <f t="shared" si="0"/>
        <v>#DIV/0!</v>
      </c>
      <c r="AG6" s="377" t="e">
        <f t="shared" si="0"/>
        <v>#DIV/0!</v>
      </c>
      <c r="AH6" s="377" t="e">
        <f t="shared" si="0"/>
        <v>#DIV/0!</v>
      </c>
      <c r="AI6" s="377" t="e">
        <f t="shared" si="0"/>
        <v>#DIV/0!</v>
      </c>
      <c r="AJ6" s="377" t="e">
        <f t="shared" si="0"/>
        <v>#DIV/0!</v>
      </c>
      <c r="AK6" s="377" t="e">
        <f t="shared" si="0"/>
        <v>#DIV/0!</v>
      </c>
      <c r="AL6" s="377" t="e">
        <f t="shared" si="0"/>
        <v>#DIV/0!</v>
      </c>
    </row>
    <row r="7" spans="1:38">
      <c r="A7" s="379" t="s">
        <v>258</v>
      </c>
      <c r="B7" s="380">
        <f t="shared" ref="B7:AL7" si="1">B9+B10</f>
        <v>47832.254617385988</v>
      </c>
      <c r="C7" s="380">
        <f t="shared" si="1"/>
        <v>70586.873436394089</v>
      </c>
      <c r="D7" s="380">
        <f t="shared" si="1"/>
        <v>87475.914807161142</v>
      </c>
      <c r="E7" s="380">
        <f t="shared" si="1"/>
        <v>108011.2723718363</v>
      </c>
      <c r="F7" s="380">
        <f t="shared" si="1"/>
        <v>120931.26139787436</v>
      </c>
      <c r="G7" s="380">
        <f t="shared" si="1"/>
        <v>125897.60283041355</v>
      </c>
      <c r="H7" s="380">
        <f t="shared" si="1"/>
        <v>139850.34811929372</v>
      </c>
      <c r="I7" s="380">
        <f t="shared" si="1"/>
        <v>149034.69665567359</v>
      </c>
      <c r="J7" s="380">
        <f t="shared" si="1"/>
        <v>153613.69999682839</v>
      </c>
      <c r="K7" s="380">
        <f t="shared" si="1"/>
        <v>168524.33842666319</v>
      </c>
      <c r="L7" s="380">
        <f t="shared" si="1"/>
        <v>185334.1693391412</v>
      </c>
      <c r="M7" s="380">
        <f t="shared" si="1"/>
        <v>202840.28600253852</v>
      </c>
      <c r="N7" s="380">
        <f t="shared" si="1"/>
        <v>214693.58805741474</v>
      </c>
      <c r="O7" s="380">
        <f t="shared" si="1"/>
        <v>216289.41149323122</v>
      </c>
      <c r="P7" s="380">
        <f t="shared" si="1"/>
        <v>249359.32597174947</v>
      </c>
      <c r="Q7" s="380">
        <f t="shared" si="1"/>
        <v>294141.3063566545</v>
      </c>
      <c r="R7" s="380">
        <f t="shared" si="1"/>
        <v>351065.41918340244</v>
      </c>
      <c r="S7" s="380">
        <f t="shared" si="1"/>
        <v>388535.70861718024</v>
      </c>
      <c r="T7" s="380">
        <f t="shared" si="1"/>
        <v>423107.0116342078</v>
      </c>
      <c r="U7" s="380">
        <f t="shared" si="1"/>
        <v>486432.45525677979</v>
      </c>
      <c r="V7" s="380">
        <f t="shared" si="1"/>
        <v>515611.82412947871</v>
      </c>
      <c r="W7" s="380">
        <f t="shared" si="1"/>
        <v>633611.45359793724</v>
      </c>
      <c r="X7" s="380">
        <f t="shared" si="1"/>
        <v>738597.97929896542</v>
      </c>
      <c r="Y7" s="380">
        <f t="shared" si="1"/>
        <v>889921.72774812405</v>
      </c>
      <c r="Z7" s="554">
        <f t="shared" si="1"/>
        <v>888454.35354753595</v>
      </c>
      <c r="AA7" s="381" t="e">
        <f t="shared" si="1"/>
        <v>#DIV/0!</v>
      </c>
      <c r="AB7" s="381" t="e">
        <f t="shared" si="1"/>
        <v>#DIV/0!</v>
      </c>
      <c r="AC7" s="381" t="e">
        <f t="shared" si="1"/>
        <v>#DIV/0!</v>
      </c>
      <c r="AD7" s="381" t="e">
        <f t="shared" si="1"/>
        <v>#DIV/0!</v>
      </c>
      <c r="AE7" s="381" t="e">
        <f t="shared" si="1"/>
        <v>#DIV/0!</v>
      </c>
      <c r="AF7" s="381" t="e">
        <f t="shared" si="1"/>
        <v>#DIV/0!</v>
      </c>
      <c r="AG7" s="381" t="e">
        <f t="shared" si="1"/>
        <v>#DIV/0!</v>
      </c>
      <c r="AH7" s="381" t="e">
        <f t="shared" si="1"/>
        <v>#DIV/0!</v>
      </c>
      <c r="AI7" s="381" t="e">
        <f t="shared" si="1"/>
        <v>#DIV/0!</v>
      </c>
      <c r="AJ7" s="381" t="e">
        <f t="shared" si="1"/>
        <v>#DIV/0!</v>
      </c>
      <c r="AK7" s="381" t="e">
        <f t="shared" si="1"/>
        <v>#DIV/0!</v>
      </c>
      <c r="AL7" s="381" t="e">
        <f t="shared" si="1"/>
        <v>#DIV/0!</v>
      </c>
    </row>
    <row r="8" spans="1:38">
      <c r="A8" s="382" t="s">
        <v>259</v>
      </c>
      <c r="B8" s="383">
        <f t="shared" ref="B8:AL8" si="2">B12+B14+B15</f>
        <v>29794.057019654865</v>
      </c>
      <c r="C8" s="383">
        <f t="shared" si="2"/>
        <v>42717.189726253113</v>
      </c>
      <c r="D8" s="383">
        <f t="shared" si="2"/>
        <v>48931.877489604296</v>
      </c>
      <c r="E8" s="383">
        <f t="shared" si="2"/>
        <v>60537.238388126876</v>
      </c>
      <c r="F8" s="383">
        <f t="shared" si="2"/>
        <v>67315.775091493022</v>
      </c>
      <c r="G8" s="383">
        <f t="shared" si="2"/>
        <v>77432.388724381177</v>
      </c>
      <c r="H8" s="383">
        <f t="shared" si="2"/>
        <v>96566.045329882036</v>
      </c>
      <c r="I8" s="383">
        <f t="shared" si="2"/>
        <v>101077.81485112722</v>
      </c>
      <c r="J8" s="383">
        <f t="shared" si="2"/>
        <v>108899.47993989683</v>
      </c>
      <c r="K8" s="383">
        <f t="shared" si="2"/>
        <v>117244.8382915416</v>
      </c>
      <c r="L8" s="383">
        <f t="shared" si="2"/>
        <v>130422.7007944714</v>
      </c>
      <c r="M8" s="383">
        <f t="shared" si="2"/>
        <v>149818.4236621568</v>
      </c>
      <c r="N8" s="383">
        <f t="shared" si="2"/>
        <v>160632.25061393032</v>
      </c>
      <c r="O8" s="383">
        <f t="shared" si="2"/>
        <v>168414.07179322239</v>
      </c>
      <c r="P8" s="383">
        <f t="shared" si="2"/>
        <v>192964.08327628454</v>
      </c>
      <c r="Q8" s="383">
        <f t="shared" si="2"/>
        <v>214625.13713625065</v>
      </c>
      <c r="R8" s="383">
        <f t="shared" si="2"/>
        <v>229403.05253288191</v>
      </c>
      <c r="S8" s="383">
        <f t="shared" si="2"/>
        <v>260048.08510377497</v>
      </c>
      <c r="T8" s="383">
        <f t="shared" si="2"/>
        <v>284359.00015386043</v>
      </c>
      <c r="U8" s="383">
        <f t="shared" si="2"/>
        <v>323178.77215831605</v>
      </c>
      <c r="V8" s="383">
        <f t="shared" si="2"/>
        <v>364175.77065956104</v>
      </c>
      <c r="W8" s="383">
        <f t="shared" si="2"/>
        <v>419606.8410258654</v>
      </c>
      <c r="X8" s="383">
        <f t="shared" si="2"/>
        <v>458644.64719396876</v>
      </c>
      <c r="Y8" s="383">
        <f t="shared" si="2"/>
        <v>528713.31351661019</v>
      </c>
      <c r="Z8" s="400">
        <f t="shared" si="2"/>
        <v>585174.59351605119</v>
      </c>
      <c r="AA8" s="31">
        <f t="shared" si="2"/>
        <v>508992.31382733502</v>
      </c>
      <c r="AB8" s="31" t="e">
        <f t="shared" si="2"/>
        <v>#DIV/0!</v>
      </c>
      <c r="AC8" s="31" t="e">
        <f t="shared" si="2"/>
        <v>#DIV/0!</v>
      </c>
      <c r="AD8" s="31" t="e">
        <f t="shared" si="2"/>
        <v>#DIV/0!</v>
      </c>
      <c r="AE8" s="31" t="e">
        <f t="shared" si="2"/>
        <v>#DIV/0!</v>
      </c>
      <c r="AF8" s="31" t="e">
        <f t="shared" si="2"/>
        <v>#DIV/0!</v>
      </c>
      <c r="AG8" s="31" t="e">
        <f t="shared" si="2"/>
        <v>#DIV/0!</v>
      </c>
      <c r="AH8" s="31" t="e">
        <f t="shared" si="2"/>
        <v>#DIV/0!</v>
      </c>
      <c r="AI8" s="31" t="e">
        <f t="shared" si="2"/>
        <v>#DIV/0!</v>
      </c>
      <c r="AJ8" s="31" t="e">
        <f t="shared" si="2"/>
        <v>#DIV/0!</v>
      </c>
      <c r="AK8" s="31" t="e">
        <f t="shared" si="2"/>
        <v>#DIV/0!</v>
      </c>
      <c r="AL8" s="31" t="e">
        <f t="shared" si="2"/>
        <v>#DIV/0!</v>
      </c>
    </row>
    <row r="9" spans="1:38" s="133" customFormat="1">
      <c r="A9" s="384" t="s">
        <v>260</v>
      </c>
      <c r="B9" s="385">
        <f t="shared" ref="B9:AL9" si="3">B12+B14+B17</f>
        <v>25189.871257954863</v>
      </c>
      <c r="C9" s="385">
        <f t="shared" si="3"/>
        <v>38651.598502064277</v>
      </c>
      <c r="D9" s="385">
        <f t="shared" si="3"/>
        <v>45733.777489604297</v>
      </c>
      <c r="E9" s="385">
        <f t="shared" si="3"/>
        <v>56434.238388126876</v>
      </c>
      <c r="F9" s="385">
        <f t="shared" si="3"/>
        <v>64120.381787039383</v>
      </c>
      <c r="G9" s="385">
        <f t="shared" si="3"/>
        <v>72542.599428202171</v>
      </c>
      <c r="H9" s="385">
        <f t="shared" si="3"/>
        <v>92224.668277352059</v>
      </c>
      <c r="I9" s="385">
        <f t="shared" si="3"/>
        <v>96421.695822057707</v>
      </c>
      <c r="J9" s="385">
        <f t="shared" si="3"/>
        <v>105960.8976761751</v>
      </c>
      <c r="K9" s="385">
        <f t="shared" si="3"/>
        <v>113931.27958357897</v>
      </c>
      <c r="L9" s="385">
        <f t="shared" si="3"/>
        <v>125639.74722691908</v>
      </c>
      <c r="M9" s="385">
        <f t="shared" si="3"/>
        <v>143534.2310976536</v>
      </c>
      <c r="N9" s="385">
        <f t="shared" si="3"/>
        <v>150713.29631648323</v>
      </c>
      <c r="O9" s="385">
        <f t="shared" si="3"/>
        <v>156770.23688398901</v>
      </c>
      <c r="P9" s="385">
        <f t="shared" si="3"/>
        <v>180640.18234028036</v>
      </c>
      <c r="Q9" s="385">
        <f t="shared" si="3"/>
        <v>204374.07435356814</v>
      </c>
      <c r="R9" s="385">
        <f t="shared" si="3"/>
        <v>221474.95557174383</v>
      </c>
      <c r="S9" s="385">
        <f t="shared" si="3"/>
        <v>254465.92120785429</v>
      </c>
      <c r="T9" s="385">
        <f t="shared" si="3"/>
        <v>280554.88718934194</v>
      </c>
      <c r="U9" s="385">
        <f t="shared" si="3"/>
        <v>322342.10805968347</v>
      </c>
      <c r="V9" s="385">
        <f t="shared" si="3"/>
        <v>346104.25036299997</v>
      </c>
      <c r="W9" s="385">
        <f t="shared" si="3"/>
        <v>403865.53405463306</v>
      </c>
      <c r="X9" s="385">
        <f t="shared" si="3"/>
        <v>446191.17102160957</v>
      </c>
      <c r="Y9" s="385">
        <f t="shared" si="3"/>
        <v>524451.45422546903</v>
      </c>
      <c r="Z9" s="402">
        <f t="shared" si="3"/>
        <v>581746.65782906103</v>
      </c>
      <c r="AA9" s="134">
        <f t="shared" si="3"/>
        <v>508992.31382733502</v>
      </c>
      <c r="AB9" s="134" t="e">
        <f t="shared" si="3"/>
        <v>#DIV/0!</v>
      </c>
      <c r="AC9" s="134" t="e">
        <f t="shared" si="3"/>
        <v>#DIV/0!</v>
      </c>
      <c r="AD9" s="134" t="e">
        <f t="shared" si="3"/>
        <v>#DIV/0!</v>
      </c>
      <c r="AE9" s="134" t="e">
        <f t="shared" si="3"/>
        <v>#DIV/0!</v>
      </c>
      <c r="AF9" s="134" t="e">
        <f t="shared" si="3"/>
        <v>#DIV/0!</v>
      </c>
      <c r="AG9" s="134" t="e">
        <f t="shared" si="3"/>
        <v>#DIV/0!</v>
      </c>
      <c r="AH9" s="134" t="e">
        <f t="shared" si="3"/>
        <v>#DIV/0!</v>
      </c>
      <c r="AI9" s="134" t="e">
        <f t="shared" si="3"/>
        <v>#DIV/0!</v>
      </c>
      <c r="AJ9" s="134" t="e">
        <f t="shared" si="3"/>
        <v>#DIV/0!</v>
      </c>
      <c r="AK9" s="134" t="e">
        <f t="shared" si="3"/>
        <v>#DIV/0!</v>
      </c>
      <c r="AL9" s="134" t="e">
        <f t="shared" si="3"/>
        <v>#DIV/0!</v>
      </c>
    </row>
    <row r="10" spans="1:38">
      <c r="A10" s="382" t="s">
        <v>261</v>
      </c>
      <c r="B10" s="383">
        <f t="shared" ref="B10:AL10" si="4">B13</f>
        <v>22642.383359431125</v>
      </c>
      <c r="C10" s="383">
        <f t="shared" si="4"/>
        <v>31935.274934329816</v>
      </c>
      <c r="D10" s="383">
        <f t="shared" si="4"/>
        <v>41742.137317556844</v>
      </c>
      <c r="E10" s="383">
        <f t="shared" si="4"/>
        <v>51577.033983709429</v>
      </c>
      <c r="F10" s="383">
        <f t="shared" si="4"/>
        <v>56810.879610834985</v>
      </c>
      <c r="G10" s="383">
        <f t="shared" si="4"/>
        <v>53355.003402211376</v>
      </c>
      <c r="H10" s="383">
        <f t="shared" si="4"/>
        <v>47625.679841941652</v>
      </c>
      <c r="I10" s="383">
        <f t="shared" si="4"/>
        <v>52613.000833615872</v>
      </c>
      <c r="J10" s="383">
        <f t="shared" si="4"/>
        <v>47652.802320653296</v>
      </c>
      <c r="K10" s="383">
        <f t="shared" si="4"/>
        <v>54593.058843084233</v>
      </c>
      <c r="L10" s="383">
        <f t="shared" si="4"/>
        <v>59694.422112222113</v>
      </c>
      <c r="M10" s="383">
        <f t="shared" si="4"/>
        <v>59306.054904884928</v>
      </c>
      <c r="N10" s="383">
        <f t="shared" si="4"/>
        <v>63980.291740931505</v>
      </c>
      <c r="O10" s="383">
        <f t="shared" si="4"/>
        <v>59519.174609242204</v>
      </c>
      <c r="P10" s="383">
        <f t="shared" si="4"/>
        <v>68719.143631469109</v>
      </c>
      <c r="Q10" s="383">
        <f t="shared" si="4"/>
        <v>89767.232003086378</v>
      </c>
      <c r="R10" s="383">
        <f t="shared" si="4"/>
        <v>129590.46361165862</v>
      </c>
      <c r="S10" s="383">
        <f t="shared" si="4"/>
        <v>134069.78740932595</v>
      </c>
      <c r="T10" s="383">
        <f t="shared" si="4"/>
        <v>142552.12444486585</v>
      </c>
      <c r="U10" s="383">
        <f t="shared" si="4"/>
        <v>164090.34719709633</v>
      </c>
      <c r="V10" s="383">
        <f t="shared" si="4"/>
        <v>169507.57376647874</v>
      </c>
      <c r="W10" s="383">
        <f t="shared" si="4"/>
        <v>229745.91954330419</v>
      </c>
      <c r="X10" s="383">
        <f t="shared" si="4"/>
        <v>292406.80827735586</v>
      </c>
      <c r="Y10" s="383">
        <f t="shared" si="4"/>
        <v>365470.27352265501</v>
      </c>
      <c r="Z10" s="400">
        <f t="shared" si="4"/>
        <v>306707.69571847492</v>
      </c>
      <c r="AA10" s="31" t="e">
        <f t="shared" si="4"/>
        <v>#DIV/0!</v>
      </c>
      <c r="AB10" s="31" t="e">
        <f t="shared" si="4"/>
        <v>#DIV/0!</v>
      </c>
      <c r="AC10" s="31" t="e">
        <f t="shared" si="4"/>
        <v>#DIV/0!</v>
      </c>
      <c r="AD10" s="31" t="e">
        <f t="shared" si="4"/>
        <v>#DIV/0!</v>
      </c>
      <c r="AE10" s="31" t="e">
        <f t="shared" si="4"/>
        <v>#DIV/0!</v>
      </c>
      <c r="AF10" s="31" t="e">
        <f t="shared" si="4"/>
        <v>#DIV/0!</v>
      </c>
      <c r="AG10" s="31" t="e">
        <f t="shared" si="4"/>
        <v>#DIV/0!</v>
      </c>
      <c r="AH10" s="31" t="e">
        <f t="shared" si="4"/>
        <v>#DIV/0!</v>
      </c>
      <c r="AI10" s="31" t="e">
        <f t="shared" si="4"/>
        <v>#DIV/0!</v>
      </c>
      <c r="AJ10" s="31" t="e">
        <f t="shared" si="4"/>
        <v>#DIV/0!</v>
      </c>
      <c r="AK10" s="31" t="e">
        <f t="shared" si="4"/>
        <v>#DIV/0!</v>
      </c>
      <c r="AL10" s="31" t="e">
        <f t="shared" si="4"/>
        <v>#DIV/0!</v>
      </c>
    </row>
    <row r="11" spans="1:38" s="175" customFormat="1">
      <c r="A11" s="375" t="s">
        <v>262</v>
      </c>
      <c r="B11" s="376">
        <f t="shared" ref="B11:AL11" si="5">B12+B13</f>
        <v>47725.143617385984</v>
      </c>
      <c r="C11" s="376">
        <f t="shared" si="5"/>
        <v>69191.973436394095</v>
      </c>
      <c r="D11" s="376">
        <f t="shared" si="5"/>
        <v>85977.814807161136</v>
      </c>
      <c r="E11" s="376">
        <f t="shared" si="5"/>
        <v>104978.06237183631</v>
      </c>
      <c r="F11" s="376">
        <f t="shared" si="5"/>
        <v>117760.66139787437</v>
      </c>
      <c r="G11" s="376">
        <f t="shared" si="5"/>
        <v>121987.10283041355</v>
      </c>
      <c r="H11" s="376">
        <f t="shared" si="5"/>
        <v>136081.34811929372</v>
      </c>
      <c r="I11" s="376">
        <f t="shared" si="5"/>
        <v>147011.59665567358</v>
      </c>
      <c r="J11" s="376">
        <f t="shared" si="5"/>
        <v>146714.69999682839</v>
      </c>
      <c r="K11" s="376">
        <f t="shared" si="5"/>
        <v>163306.76886113221</v>
      </c>
      <c r="L11" s="376">
        <f t="shared" si="5"/>
        <v>179227.24727691719</v>
      </c>
      <c r="M11" s="376">
        <f t="shared" si="5"/>
        <v>194828.05746006581</v>
      </c>
      <c r="N11" s="376">
        <f t="shared" si="5"/>
        <v>212542.79345750457</v>
      </c>
      <c r="O11" s="376">
        <f t="shared" si="5"/>
        <v>212518.27659599693</v>
      </c>
      <c r="P11" s="376">
        <f t="shared" si="5"/>
        <v>243095.62905837045</v>
      </c>
      <c r="Q11" s="376">
        <f t="shared" si="5"/>
        <v>283969.93996191461</v>
      </c>
      <c r="R11" s="376">
        <f t="shared" si="5"/>
        <v>329433.1144136269</v>
      </c>
      <c r="S11" s="376">
        <f t="shared" si="5"/>
        <v>364699.36954543949</v>
      </c>
      <c r="T11" s="376">
        <f t="shared" si="5"/>
        <v>397924.40891797829</v>
      </c>
      <c r="U11" s="376">
        <f t="shared" si="5"/>
        <v>457862.1990461938</v>
      </c>
      <c r="V11" s="376">
        <f t="shared" si="5"/>
        <v>482279.26698231575</v>
      </c>
      <c r="W11" s="376">
        <f t="shared" si="5"/>
        <v>592085.37950931769</v>
      </c>
      <c r="X11" s="376">
        <f t="shared" si="5"/>
        <v>701908.94572964741</v>
      </c>
      <c r="Y11" s="376">
        <f t="shared" si="5"/>
        <v>827756.31595447904</v>
      </c>
      <c r="Z11" s="553">
        <f t="shared" si="5"/>
        <v>815700.00954580994</v>
      </c>
      <c r="AA11" s="377" t="e">
        <f t="shared" si="5"/>
        <v>#DIV/0!</v>
      </c>
      <c r="AB11" s="377" t="e">
        <f t="shared" si="5"/>
        <v>#DIV/0!</v>
      </c>
      <c r="AC11" s="377" t="e">
        <f t="shared" si="5"/>
        <v>#DIV/0!</v>
      </c>
      <c r="AD11" s="377" t="e">
        <f t="shared" si="5"/>
        <v>#DIV/0!</v>
      </c>
      <c r="AE11" s="377" t="e">
        <f t="shared" si="5"/>
        <v>#DIV/0!</v>
      </c>
      <c r="AF11" s="377" t="e">
        <f t="shared" si="5"/>
        <v>#DIV/0!</v>
      </c>
      <c r="AG11" s="377" t="e">
        <f t="shared" si="5"/>
        <v>#DIV/0!</v>
      </c>
      <c r="AH11" s="377" t="e">
        <f t="shared" si="5"/>
        <v>#DIV/0!</v>
      </c>
      <c r="AI11" s="377" t="e">
        <f t="shared" si="5"/>
        <v>#DIV/0!</v>
      </c>
      <c r="AJ11" s="377" t="e">
        <f t="shared" si="5"/>
        <v>#DIV/0!</v>
      </c>
      <c r="AK11" s="377" t="e">
        <f t="shared" si="5"/>
        <v>#DIV/0!</v>
      </c>
      <c r="AL11" s="377" t="e">
        <f t="shared" si="5"/>
        <v>#DIV/0!</v>
      </c>
    </row>
    <row r="12" spans="1:38">
      <c r="A12" s="382" t="s">
        <v>263</v>
      </c>
      <c r="B12" s="386">
        <v>25082.760257954862</v>
      </c>
      <c r="C12" s="386">
        <v>37256.698502064275</v>
      </c>
      <c r="D12" s="386">
        <v>44235.677489604299</v>
      </c>
      <c r="E12" s="386">
        <v>53401.028388126877</v>
      </c>
      <c r="F12" s="386">
        <v>60949.781787039385</v>
      </c>
      <c r="G12" s="386">
        <v>68632.099428202171</v>
      </c>
      <c r="H12" s="386">
        <v>88455.668277352059</v>
      </c>
      <c r="I12" s="386">
        <v>94398.595822057701</v>
      </c>
      <c r="J12" s="386">
        <v>99061.897676175096</v>
      </c>
      <c r="K12" s="386">
        <v>108713.71001804798</v>
      </c>
      <c r="L12" s="386">
        <v>119532.82516469508</v>
      </c>
      <c r="M12" s="386">
        <v>135522.00255518089</v>
      </c>
      <c r="N12" s="386">
        <v>148562.50171657305</v>
      </c>
      <c r="O12" s="386">
        <v>152999.10198675471</v>
      </c>
      <c r="P12" s="386">
        <v>174376.48542690134</v>
      </c>
      <c r="Q12" s="386">
        <v>194202.70795882825</v>
      </c>
      <c r="R12" s="386">
        <v>199842.6508019683</v>
      </c>
      <c r="S12" s="386">
        <v>230629.58213611355</v>
      </c>
      <c r="T12" s="386">
        <v>255372.28447311241</v>
      </c>
      <c r="U12" s="386">
        <v>293771.85184909747</v>
      </c>
      <c r="V12" s="386">
        <v>312771.693215837</v>
      </c>
      <c r="W12" s="386">
        <v>362339.45996601344</v>
      </c>
      <c r="X12" s="386">
        <v>409502.13745229156</v>
      </c>
      <c r="Y12" s="386">
        <v>462286.04243182403</v>
      </c>
      <c r="Z12" s="482">
        <v>508992.31382733502</v>
      </c>
      <c r="AA12" s="31">
        <f>'Deuda a emitir'!F779</f>
        <v>508992.31382733502</v>
      </c>
      <c r="AB12" s="31" t="e">
        <f>'Deuda a emitir'!G779</f>
        <v>#DIV/0!</v>
      </c>
      <c r="AC12" s="31" t="e">
        <f>'Deuda a emitir'!H779</f>
        <v>#DIV/0!</v>
      </c>
      <c r="AD12" s="31" t="e">
        <f>'Deuda a emitir'!I779</f>
        <v>#DIV/0!</v>
      </c>
      <c r="AE12" s="31" t="e">
        <f>'Deuda a emitir'!J779</f>
        <v>#DIV/0!</v>
      </c>
      <c r="AF12" s="31" t="e">
        <f>'Deuda a emitir'!K779</f>
        <v>#DIV/0!</v>
      </c>
      <c r="AG12" s="31" t="e">
        <f>'Deuda a emitir'!L779</f>
        <v>#DIV/0!</v>
      </c>
      <c r="AH12" s="31" t="e">
        <f>'Deuda a emitir'!M779</f>
        <v>#DIV/0!</v>
      </c>
      <c r="AI12" s="31" t="e">
        <f>'Deuda a emitir'!N779</f>
        <v>#DIV/0!</v>
      </c>
      <c r="AJ12" s="31" t="e">
        <f>'Deuda a emitir'!O779</f>
        <v>#DIV/0!</v>
      </c>
      <c r="AK12" s="31" t="e">
        <f>'Deuda a emitir'!P779</f>
        <v>#DIV/0!</v>
      </c>
      <c r="AL12" s="31" t="e">
        <f>'Deuda a emitir'!Q779</f>
        <v>#DIV/0!</v>
      </c>
    </row>
    <row r="13" spans="1:38">
      <c r="A13" s="382" t="s">
        <v>264</v>
      </c>
      <c r="B13" s="386">
        <v>22642.383359431125</v>
      </c>
      <c r="C13" s="386">
        <v>31935.274934329816</v>
      </c>
      <c r="D13" s="386">
        <v>41742.137317556844</v>
      </c>
      <c r="E13" s="386">
        <v>51577.033983709429</v>
      </c>
      <c r="F13" s="386">
        <v>56810.879610834985</v>
      </c>
      <c r="G13" s="386">
        <v>53355.003402211376</v>
      </c>
      <c r="H13" s="386">
        <v>47625.679841941652</v>
      </c>
      <c r="I13" s="386">
        <v>52613.000833615872</v>
      </c>
      <c r="J13" s="386">
        <v>47652.802320653296</v>
      </c>
      <c r="K13" s="386">
        <v>54593.058843084233</v>
      </c>
      <c r="L13" s="386">
        <v>59694.422112222113</v>
      </c>
      <c r="M13" s="386">
        <v>59306.054904884928</v>
      </c>
      <c r="N13" s="386">
        <v>63980.291740931505</v>
      </c>
      <c r="O13" s="386">
        <v>59519.174609242204</v>
      </c>
      <c r="P13" s="386">
        <v>68719.143631469109</v>
      </c>
      <c r="Q13" s="386">
        <v>89767.232003086378</v>
      </c>
      <c r="R13" s="386">
        <v>129590.46361165862</v>
      </c>
      <c r="S13" s="386">
        <v>134069.78740932595</v>
      </c>
      <c r="T13" s="386">
        <v>142552.12444486585</v>
      </c>
      <c r="U13" s="386">
        <v>164090.34719709633</v>
      </c>
      <c r="V13" s="386">
        <v>169507.57376647874</v>
      </c>
      <c r="W13" s="386">
        <v>229745.91954330419</v>
      </c>
      <c r="X13" s="386">
        <v>292406.80827735586</v>
      </c>
      <c r="Y13" s="386">
        <v>365470.27352265501</v>
      </c>
      <c r="Z13" s="482">
        <v>306707.69571847492</v>
      </c>
      <c r="AA13" s="31" t="e">
        <f>'Deuda a emitir'!F782</f>
        <v>#DIV/0!</v>
      </c>
      <c r="AB13" s="31" t="e">
        <f>'Deuda a emitir'!G782</f>
        <v>#DIV/0!</v>
      </c>
      <c r="AC13" s="31" t="e">
        <f>'Deuda a emitir'!H782</f>
        <v>#DIV/0!</v>
      </c>
      <c r="AD13" s="31" t="e">
        <f>'Deuda a emitir'!I782</f>
        <v>#DIV/0!</v>
      </c>
      <c r="AE13" s="31" t="e">
        <f>'Deuda a emitir'!J782</f>
        <v>#DIV/0!</v>
      </c>
      <c r="AF13" s="31" t="e">
        <f>'Deuda a emitir'!K782</f>
        <v>#DIV/0!</v>
      </c>
      <c r="AG13" s="31" t="e">
        <f>'Deuda a emitir'!L782</f>
        <v>#DIV/0!</v>
      </c>
      <c r="AH13" s="31" t="e">
        <f>'Deuda a emitir'!M782</f>
        <v>#DIV/0!</v>
      </c>
      <c r="AI13" s="31" t="e">
        <f>'Deuda a emitir'!N782</f>
        <v>#DIV/0!</v>
      </c>
      <c r="AJ13" s="31" t="e">
        <f>'Deuda a emitir'!O782</f>
        <v>#DIV/0!</v>
      </c>
      <c r="AK13" s="31" t="e">
        <f>'Deuda a emitir'!P782</f>
        <v>#DIV/0!</v>
      </c>
      <c r="AL13" s="31" t="e">
        <f>'Deuda a emitir'!Q782</f>
        <v>#DIV/0!</v>
      </c>
    </row>
    <row r="14" spans="1:38" s="175" customFormat="1">
      <c r="A14" s="375" t="s">
        <v>265</v>
      </c>
      <c r="B14" s="376">
        <v>107.111</v>
      </c>
      <c r="C14" s="376">
        <v>1394.9</v>
      </c>
      <c r="D14" s="376">
        <v>1498.1</v>
      </c>
      <c r="E14" s="376">
        <v>3033.21</v>
      </c>
      <c r="F14" s="376">
        <v>3170.6</v>
      </c>
      <c r="G14" s="376">
        <v>3910.5</v>
      </c>
      <c r="H14" s="376">
        <v>3769</v>
      </c>
      <c r="I14" s="376">
        <v>2023.1</v>
      </c>
      <c r="J14" s="376">
        <v>6899</v>
      </c>
      <c r="K14" s="376">
        <v>5217.569565531001</v>
      </c>
      <c r="L14" s="376">
        <v>6106.9220622240009</v>
      </c>
      <c r="M14" s="376">
        <v>8012.228542472707</v>
      </c>
      <c r="N14" s="376">
        <v>2150.7945999101798</v>
      </c>
      <c r="O14" s="376">
        <v>3771.1348972343103</v>
      </c>
      <c r="P14" s="376">
        <v>6263.6969133789999</v>
      </c>
      <c r="Q14" s="376">
        <v>5895.9895964658808</v>
      </c>
      <c r="R14" s="376">
        <v>11766.61896228454</v>
      </c>
      <c r="S14" s="376">
        <v>12386.029618948742</v>
      </c>
      <c r="T14" s="376">
        <v>13961.503350880561</v>
      </c>
      <c r="U14" s="376">
        <v>16163.727516440003</v>
      </c>
      <c r="V14" s="376">
        <v>18527.183784162997</v>
      </c>
      <c r="W14" s="376">
        <v>27506.511719527996</v>
      </c>
      <c r="X14" s="376">
        <v>22409.839486309025</v>
      </c>
      <c r="Y14" s="376">
        <v>44988.359710841003</v>
      </c>
      <c r="Z14" s="553">
        <v>49658.293590161004</v>
      </c>
      <c r="AA14" s="377">
        <f>'Deuda a emitir'!F108</f>
        <v>0</v>
      </c>
      <c r="AB14" s="377">
        <f>'Deuda a emitir'!G108</f>
        <v>0</v>
      </c>
      <c r="AC14" s="377">
        <f>'Deuda a emitir'!H108</f>
        <v>0</v>
      </c>
      <c r="AD14" s="377">
        <f>'Deuda a emitir'!I108</f>
        <v>0</v>
      </c>
      <c r="AE14" s="377">
        <f>'Deuda a emitir'!J108</f>
        <v>0</v>
      </c>
      <c r="AF14" s="377">
        <f>'Deuda a emitir'!K108</f>
        <v>0</v>
      </c>
      <c r="AG14" s="377">
        <f>'Deuda a emitir'!L108</f>
        <v>0</v>
      </c>
      <c r="AH14" s="377">
        <f>'Deuda a emitir'!M108</f>
        <v>0</v>
      </c>
      <c r="AI14" s="377">
        <f>'Deuda a emitir'!N108</f>
        <v>0</v>
      </c>
      <c r="AJ14" s="377">
        <f>'Deuda a emitir'!O108</f>
        <v>0</v>
      </c>
      <c r="AK14" s="377">
        <f>'Deuda a emitir'!P108</f>
        <v>0</v>
      </c>
      <c r="AL14" s="377">
        <f>'Deuda a emitir'!Q108</f>
        <v>0</v>
      </c>
    </row>
    <row r="15" spans="1:38" s="175" customFormat="1">
      <c r="A15" s="375" t="s">
        <v>266</v>
      </c>
      <c r="B15" s="376">
        <f t="shared" ref="B15:AL15" si="6">SUM(B16:B18)</f>
        <v>4604.1857617000005</v>
      </c>
      <c r="C15" s="376">
        <f t="shared" si="6"/>
        <v>4065.59122418884</v>
      </c>
      <c r="D15" s="376">
        <f t="shared" si="6"/>
        <v>3198.1</v>
      </c>
      <c r="E15" s="376">
        <f t="shared" si="6"/>
        <v>4103</v>
      </c>
      <c r="F15" s="376">
        <f t="shared" si="6"/>
        <v>3195.3933044536398</v>
      </c>
      <c r="G15" s="376">
        <f t="shared" si="6"/>
        <v>4889.7892961790003</v>
      </c>
      <c r="H15" s="376">
        <f t="shared" si="6"/>
        <v>4341.3770525299806</v>
      </c>
      <c r="I15" s="376">
        <f t="shared" si="6"/>
        <v>4656.1190290695104</v>
      </c>
      <c r="J15" s="376">
        <f t="shared" si="6"/>
        <v>2938.5822637217398</v>
      </c>
      <c r="K15" s="376">
        <f t="shared" si="6"/>
        <v>3313.5587079626298</v>
      </c>
      <c r="L15" s="376">
        <f t="shared" si="6"/>
        <v>4782.9535675523211</v>
      </c>
      <c r="M15" s="376">
        <f t="shared" si="6"/>
        <v>6284.1925645031906</v>
      </c>
      <c r="N15" s="376">
        <f t="shared" si="6"/>
        <v>9918.9542974470714</v>
      </c>
      <c r="O15" s="376">
        <f t="shared" si="6"/>
        <v>11643.834909233381</v>
      </c>
      <c r="P15" s="376">
        <f t="shared" si="6"/>
        <v>12323.900936004189</v>
      </c>
      <c r="Q15" s="376">
        <f t="shared" si="6"/>
        <v>14526.43958095651</v>
      </c>
      <c r="R15" s="376">
        <f t="shared" si="6"/>
        <v>17793.782768629091</v>
      </c>
      <c r="S15" s="376">
        <f t="shared" si="6"/>
        <v>17032.473348712676</v>
      </c>
      <c r="T15" s="376">
        <f t="shared" si="6"/>
        <v>15025.212329867467</v>
      </c>
      <c r="U15" s="376">
        <f t="shared" si="6"/>
        <v>13243.192792778591</v>
      </c>
      <c r="V15" s="376">
        <f t="shared" si="6"/>
        <v>32876.893659561065</v>
      </c>
      <c r="W15" s="376">
        <f t="shared" si="6"/>
        <v>29760.869340323967</v>
      </c>
      <c r="X15" s="376">
        <f t="shared" si="6"/>
        <v>26732.670255368197</v>
      </c>
      <c r="Y15" s="376">
        <f t="shared" si="6"/>
        <v>21438.911373945131</v>
      </c>
      <c r="Z15" s="553">
        <f t="shared" si="6"/>
        <v>26523.98609855515</v>
      </c>
      <c r="AA15" s="377">
        <f t="shared" si="6"/>
        <v>0</v>
      </c>
      <c r="AB15" s="377">
        <f t="shared" si="6"/>
        <v>0</v>
      </c>
      <c r="AC15" s="377">
        <f t="shared" si="6"/>
        <v>0</v>
      </c>
      <c r="AD15" s="377">
        <f t="shared" si="6"/>
        <v>0</v>
      </c>
      <c r="AE15" s="377">
        <f t="shared" si="6"/>
        <v>0</v>
      </c>
      <c r="AF15" s="377">
        <f t="shared" si="6"/>
        <v>0</v>
      </c>
      <c r="AG15" s="377">
        <f t="shared" si="6"/>
        <v>0</v>
      </c>
      <c r="AH15" s="377">
        <f t="shared" si="6"/>
        <v>0</v>
      </c>
      <c r="AI15" s="377">
        <f t="shared" si="6"/>
        <v>0</v>
      </c>
      <c r="AJ15" s="377">
        <f t="shared" si="6"/>
        <v>0</v>
      </c>
      <c r="AK15" s="377">
        <f t="shared" si="6"/>
        <v>0</v>
      </c>
      <c r="AL15" s="377">
        <f t="shared" si="6"/>
        <v>0</v>
      </c>
    </row>
    <row r="16" spans="1:38">
      <c r="A16" s="382" t="s">
        <v>267</v>
      </c>
      <c r="B16" s="386">
        <v>4604.1857617000005</v>
      </c>
      <c r="C16" s="386">
        <v>4065.59122418884</v>
      </c>
      <c r="D16" s="386">
        <v>3198.1</v>
      </c>
      <c r="E16" s="386">
        <v>4103</v>
      </c>
      <c r="F16" s="386">
        <v>3195.3933044536398</v>
      </c>
      <c r="G16" s="386">
        <v>4889.7892961790003</v>
      </c>
      <c r="H16" s="386">
        <v>4341.3770525299806</v>
      </c>
      <c r="I16" s="386">
        <v>4656.1190290695104</v>
      </c>
      <c r="J16" s="386">
        <v>2938.5822637217398</v>
      </c>
      <c r="K16" s="386">
        <v>3313.5587079626298</v>
      </c>
      <c r="L16" s="386">
        <v>4782.9535675523211</v>
      </c>
      <c r="M16" s="386">
        <v>6284.1925645031906</v>
      </c>
      <c r="N16" s="386">
        <v>9918.9542974470714</v>
      </c>
      <c r="O16" s="386">
        <v>11643.834909233381</v>
      </c>
      <c r="P16" s="386">
        <v>12323.900936004189</v>
      </c>
      <c r="Q16" s="386">
        <v>10251.062782682511</v>
      </c>
      <c r="R16" s="386">
        <v>7928.096961138086</v>
      </c>
      <c r="S16" s="386">
        <v>5582.1638959206784</v>
      </c>
      <c r="T16" s="386">
        <v>3804.1129645184669</v>
      </c>
      <c r="U16" s="386">
        <v>836.66409863259253</v>
      </c>
      <c r="V16" s="386">
        <v>290.11302956134506</v>
      </c>
      <c r="W16" s="386">
        <v>158.80636756679948</v>
      </c>
      <c r="X16" s="386">
        <v>399.0107549339823</v>
      </c>
      <c r="Y16" s="386">
        <v>276.49208796638959</v>
      </c>
      <c r="Z16" s="482">
        <v>296.19890533887519</v>
      </c>
      <c r="AA16" s="31">
        <f>'Deuda a emitir'!F110</f>
        <v>0</v>
      </c>
      <c r="AB16" s="31">
        <f>'Deuda a emitir'!G110</f>
        <v>0</v>
      </c>
      <c r="AC16" s="31">
        <f>'Deuda a emitir'!H110</f>
        <v>0</v>
      </c>
      <c r="AD16" s="31">
        <f>'Deuda a emitir'!I110</f>
        <v>0</v>
      </c>
      <c r="AE16" s="31">
        <f>'Deuda a emitir'!J110</f>
        <v>0</v>
      </c>
      <c r="AF16" s="31">
        <f>'Deuda a emitir'!K110</f>
        <v>0</v>
      </c>
      <c r="AG16" s="31">
        <f>'Deuda a emitir'!L110</f>
        <v>0</v>
      </c>
      <c r="AH16" s="31">
        <f>'Deuda a emitir'!M110</f>
        <v>0</v>
      </c>
      <c r="AI16" s="31">
        <f>'Deuda a emitir'!N110</f>
        <v>0</v>
      </c>
      <c r="AJ16" s="31">
        <f>'Deuda a emitir'!O110</f>
        <v>0</v>
      </c>
      <c r="AK16" s="31">
        <f>'Deuda a emitir'!P110</f>
        <v>0</v>
      </c>
      <c r="AL16" s="31">
        <f>'Deuda a emitir'!Q110</f>
        <v>0</v>
      </c>
    </row>
    <row r="17" spans="1:38">
      <c r="A17" s="382" t="s">
        <v>268</v>
      </c>
      <c r="B17" s="386">
        <v>0</v>
      </c>
      <c r="C17" s="386">
        <v>0</v>
      </c>
      <c r="D17" s="386">
        <v>0</v>
      </c>
      <c r="E17" s="386">
        <v>0</v>
      </c>
      <c r="F17" s="386">
        <v>0</v>
      </c>
      <c r="G17" s="386">
        <v>0</v>
      </c>
      <c r="H17" s="386">
        <v>0</v>
      </c>
      <c r="I17" s="386">
        <v>0</v>
      </c>
      <c r="J17" s="386">
        <v>0</v>
      </c>
      <c r="K17" s="386">
        <v>0</v>
      </c>
      <c r="L17" s="386">
        <v>0</v>
      </c>
      <c r="M17" s="386">
        <v>0</v>
      </c>
      <c r="N17" s="386">
        <v>0</v>
      </c>
      <c r="O17" s="386">
        <v>0</v>
      </c>
      <c r="P17" s="386">
        <v>0</v>
      </c>
      <c r="Q17" s="386">
        <v>4275.3767982739992</v>
      </c>
      <c r="R17" s="386">
        <v>9865.6858074910033</v>
      </c>
      <c r="S17" s="386">
        <v>11450.309452791997</v>
      </c>
      <c r="T17" s="386">
        <v>11221.099365349</v>
      </c>
      <c r="U17" s="386">
        <v>12406.528694145998</v>
      </c>
      <c r="V17" s="386">
        <v>14805.373362999999</v>
      </c>
      <c r="W17" s="386">
        <v>14019.5623690916</v>
      </c>
      <c r="X17" s="386">
        <v>14279.194083009001</v>
      </c>
      <c r="Y17" s="386">
        <v>17177.052082803999</v>
      </c>
      <c r="Z17" s="482">
        <v>23096.050411565</v>
      </c>
      <c r="AA17" s="31">
        <f>'Deuda a emitir'!F112</f>
        <v>0</v>
      </c>
      <c r="AB17" s="31">
        <f>'Deuda a emitir'!G112</f>
        <v>0</v>
      </c>
      <c r="AC17" s="31">
        <f>'Deuda a emitir'!H112</f>
        <v>0</v>
      </c>
      <c r="AD17" s="31">
        <f>'Deuda a emitir'!I112</f>
        <v>0</v>
      </c>
      <c r="AE17" s="31">
        <f>'Deuda a emitir'!J112</f>
        <v>0</v>
      </c>
      <c r="AF17" s="31">
        <f>'Deuda a emitir'!K112</f>
        <v>0</v>
      </c>
      <c r="AG17" s="31">
        <f>'Deuda a emitir'!L112</f>
        <v>0</v>
      </c>
      <c r="AH17" s="31">
        <f>'Deuda a emitir'!M112</f>
        <v>0</v>
      </c>
      <c r="AI17" s="31">
        <f>'Deuda a emitir'!N112</f>
        <v>0</v>
      </c>
      <c r="AJ17" s="31">
        <f>'Deuda a emitir'!O112</f>
        <v>0</v>
      </c>
      <c r="AK17" s="31">
        <f>'Deuda a emitir'!P112</f>
        <v>0</v>
      </c>
      <c r="AL17" s="31">
        <f>'Deuda a emitir'!Q112</f>
        <v>0</v>
      </c>
    </row>
    <row r="18" spans="1:38">
      <c r="A18" s="382" t="s">
        <v>269</v>
      </c>
      <c r="B18" s="386">
        <v>0</v>
      </c>
      <c r="C18" s="386">
        <v>0</v>
      </c>
      <c r="D18" s="386">
        <v>0</v>
      </c>
      <c r="E18" s="386">
        <v>0</v>
      </c>
      <c r="F18" s="386">
        <v>0</v>
      </c>
      <c r="G18" s="386">
        <v>0</v>
      </c>
      <c r="H18" s="386">
        <v>0</v>
      </c>
      <c r="I18" s="386">
        <v>0</v>
      </c>
      <c r="J18" s="386">
        <v>0</v>
      </c>
      <c r="K18" s="386">
        <v>0</v>
      </c>
      <c r="L18" s="386">
        <v>0</v>
      </c>
      <c r="M18" s="386">
        <v>0</v>
      </c>
      <c r="N18" s="386">
        <v>0</v>
      </c>
      <c r="O18" s="386">
        <v>0</v>
      </c>
      <c r="P18" s="386">
        <v>0</v>
      </c>
      <c r="Q18" s="386">
        <v>0</v>
      </c>
      <c r="R18" s="386">
        <v>0</v>
      </c>
      <c r="S18" s="386">
        <v>0</v>
      </c>
      <c r="T18" s="386">
        <v>0</v>
      </c>
      <c r="U18" s="386">
        <v>0</v>
      </c>
      <c r="V18" s="386">
        <v>17781.407266999719</v>
      </c>
      <c r="W18" s="386">
        <v>15582.500603665569</v>
      </c>
      <c r="X18" s="386">
        <v>12054.465417425215</v>
      </c>
      <c r="Y18" s="386">
        <v>3985.3672031747456</v>
      </c>
      <c r="Z18" s="482">
        <v>3131.7367816512751</v>
      </c>
      <c r="AA18" s="303">
        <f>'Deuda a emitir'!F119</f>
        <v>0</v>
      </c>
      <c r="AB18" s="303">
        <f>'Deuda a emitir'!G119</f>
        <v>0</v>
      </c>
      <c r="AC18" s="303">
        <f>'Deuda a emitir'!H119</f>
        <v>0</v>
      </c>
      <c r="AD18" s="303">
        <f>'Deuda a emitir'!I119</f>
        <v>0</v>
      </c>
      <c r="AE18" s="303">
        <f>'Deuda a emitir'!J119</f>
        <v>0</v>
      </c>
      <c r="AF18" s="303">
        <f>'Deuda a emitir'!K119</f>
        <v>0</v>
      </c>
      <c r="AG18" s="303">
        <f>'Deuda a emitir'!L119</f>
        <v>0</v>
      </c>
      <c r="AH18" s="303">
        <f>'Deuda a emitir'!M119</f>
        <v>0</v>
      </c>
      <c r="AI18" s="303">
        <f>'Deuda a emitir'!N119</f>
        <v>0</v>
      </c>
      <c r="AJ18" s="303">
        <f>'Deuda a emitir'!O119</f>
        <v>0</v>
      </c>
      <c r="AK18" s="303">
        <f>'Deuda a emitir'!P119</f>
        <v>0</v>
      </c>
      <c r="AL18" s="303">
        <f>'Deuda a emitir'!Q119</f>
        <v>0</v>
      </c>
    </row>
    <row r="19" spans="1:38" s="175" customFormat="1">
      <c r="A19" s="375" t="s">
        <v>270</v>
      </c>
      <c r="B19" s="376">
        <f t="shared" ref="B19:AL19" si="7">SUM(B20:B21)</f>
        <v>2503.6406878192706</v>
      </c>
      <c r="C19" s="376">
        <f t="shared" si="7"/>
        <v>2415.0637927336988</v>
      </c>
      <c r="D19" s="376">
        <f t="shared" si="7"/>
        <v>5488.3823483722936</v>
      </c>
      <c r="E19" s="376">
        <f t="shared" si="7"/>
        <v>2161.7547760803973</v>
      </c>
      <c r="F19" s="376">
        <f t="shared" si="7"/>
        <v>2976.8205622250066</v>
      </c>
      <c r="G19" s="376">
        <f t="shared" si="7"/>
        <v>5407.6817612911882</v>
      </c>
      <c r="H19" s="376">
        <f t="shared" si="7"/>
        <v>7511.463675596804</v>
      </c>
      <c r="I19" s="376">
        <f t="shared" si="7"/>
        <v>7843.2429516860411</v>
      </c>
      <c r="J19" s="376">
        <f t="shared" si="7"/>
        <v>3373.4433489910662</v>
      </c>
      <c r="K19" s="376">
        <f t="shared" si="7"/>
        <v>3799.5729079973689</v>
      </c>
      <c r="L19" s="376">
        <f t="shared" si="7"/>
        <v>6806.7927911873403</v>
      </c>
      <c r="M19" s="376">
        <f t="shared" si="7"/>
        <v>7859.7827847366316</v>
      </c>
      <c r="N19" s="376">
        <f t="shared" si="7"/>
        <v>11698.656532121709</v>
      </c>
      <c r="O19" s="376">
        <f t="shared" si="7"/>
        <v>6864.3121530415046</v>
      </c>
      <c r="P19" s="376">
        <f t="shared" si="7"/>
        <v>17552.157854957091</v>
      </c>
      <c r="Q19" s="376">
        <f t="shared" si="7"/>
        <v>24339.184516048801</v>
      </c>
      <c r="R19" s="376">
        <f t="shared" si="7"/>
        <v>22854.602274039389</v>
      </c>
      <c r="S19" s="376">
        <f t="shared" si="7"/>
        <v>21249.053361661609</v>
      </c>
      <c r="T19" s="376">
        <f t="shared" si="7"/>
        <v>23877.912280205801</v>
      </c>
      <c r="U19" s="376">
        <f t="shared" si="7"/>
        <v>29490.094889541029</v>
      </c>
      <c r="V19" s="376">
        <f t="shared" si="7"/>
        <v>20723.702366336616</v>
      </c>
      <c r="W19" s="376">
        <f t="shared" si="7"/>
        <v>43709.173329880767</v>
      </c>
      <c r="X19" s="376">
        <f t="shared" si="7"/>
        <v>34842.805577530758</v>
      </c>
      <c r="Y19" s="376">
        <f t="shared" si="7"/>
        <v>46747.521336883219</v>
      </c>
      <c r="Z19" s="553">
        <f t="shared" si="7"/>
        <v>0</v>
      </c>
      <c r="AA19" s="377">
        <f t="shared" si="7"/>
        <v>0</v>
      </c>
      <c r="AB19" s="377">
        <f t="shared" si="7"/>
        <v>0</v>
      </c>
      <c r="AC19" s="377">
        <f t="shared" si="7"/>
        <v>0</v>
      </c>
      <c r="AD19" s="377">
        <f t="shared" si="7"/>
        <v>0</v>
      </c>
      <c r="AE19" s="377">
        <f t="shared" si="7"/>
        <v>0</v>
      </c>
      <c r="AF19" s="377">
        <f t="shared" si="7"/>
        <v>0</v>
      </c>
      <c r="AG19" s="377">
        <f t="shared" si="7"/>
        <v>0</v>
      </c>
      <c r="AH19" s="377">
        <f t="shared" si="7"/>
        <v>0</v>
      </c>
      <c r="AI19" s="377">
        <f t="shared" si="7"/>
        <v>0</v>
      </c>
      <c r="AJ19" s="377">
        <f t="shared" si="7"/>
        <v>0</v>
      </c>
      <c r="AK19" s="377">
        <f t="shared" si="7"/>
        <v>0</v>
      </c>
      <c r="AL19" s="377">
        <f t="shared" si="7"/>
        <v>0</v>
      </c>
    </row>
    <row r="20" spans="1:38">
      <c r="A20" s="382" t="s">
        <v>271</v>
      </c>
      <c r="B20" s="386">
        <v>1094.3660913142726</v>
      </c>
      <c r="C20" s="386">
        <v>973.66553101967054</v>
      </c>
      <c r="D20" s="386">
        <v>1399.9736091198406</v>
      </c>
      <c r="E20" s="386">
        <v>1115.50056808718</v>
      </c>
      <c r="F20" s="386">
        <v>1238.9691263885584</v>
      </c>
      <c r="G20" s="386">
        <v>2746.7761052988399</v>
      </c>
      <c r="H20" s="386">
        <v>4365.9956048518598</v>
      </c>
      <c r="I20" s="386">
        <v>3432.303233778</v>
      </c>
      <c r="J20" s="386">
        <v>2436.6331753639897</v>
      </c>
      <c r="K20" s="386">
        <v>2495.5794029599501</v>
      </c>
      <c r="L20" s="386">
        <v>1869.0785997155699</v>
      </c>
      <c r="M20" s="386">
        <v>5265.9656194395102</v>
      </c>
      <c r="N20" s="386">
        <v>8735.7655271595104</v>
      </c>
      <c r="O20" s="386">
        <v>5794.6618088717396</v>
      </c>
      <c r="P20" s="386">
        <v>15378.012050869</v>
      </c>
      <c r="Q20" s="386">
        <v>21893.027473919999</v>
      </c>
      <c r="R20" s="386">
        <v>17281.376250085119</v>
      </c>
      <c r="S20" s="386">
        <v>12789.98193111293</v>
      </c>
      <c r="T20" s="386">
        <v>16247.18915120324</v>
      </c>
      <c r="U20" s="386">
        <v>20508.16226804661</v>
      </c>
      <c r="V20" s="386">
        <v>14050.800415006592</v>
      </c>
      <c r="W20" s="386">
        <v>29285.554446906139</v>
      </c>
      <c r="X20" s="386">
        <v>27665.357199583286</v>
      </c>
      <c r="Y20" s="386">
        <v>34120.924499783774</v>
      </c>
      <c r="Z20" s="482">
        <f>'Deuda a emitir'!E114</f>
        <v>0</v>
      </c>
      <c r="AA20" s="31">
        <f>'Deuda a emitir'!F114</f>
        <v>0</v>
      </c>
      <c r="AB20" s="31">
        <f>'Deuda a emitir'!G114</f>
        <v>0</v>
      </c>
      <c r="AC20" s="31">
        <f>'Deuda a emitir'!H114</f>
        <v>0</v>
      </c>
      <c r="AD20" s="31">
        <f>'Deuda a emitir'!I114</f>
        <v>0</v>
      </c>
      <c r="AE20" s="31">
        <f>'Deuda a emitir'!J114</f>
        <v>0</v>
      </c>
      <c r="AF20" s="31">
        <f>'Deuda a emitir'!K114</f>
        <v>0</v>
      </c>
      <c r="AG20" s="31">
        <f>'Deuda a emitir'!L114</f>
        <v>0</v>
      </c>
      <c r="AH20" s="31">
        <f>'Deuda a emitir'!M114</f>
        <v>0</v>
      </c>
      <c r="AI20" s="31">
        <f>'Deuda a emitir'!N114</f>
        <v>0</v>
      </c>
      <c r="AJ20" s="31">
        <f>'Deuda a emitir'!O114</f>
        <v>0</v>
      </c>
      <c r="AK20" s="31">
        <f>'Deuda a emitir'!P114</f>
        <v>0</v>
      </c>
      <c r="AL20" s="31">
        <f>'Deuda a emitir'!Q114</f>
        <v>0</v>
      </c>
    </row>
    <row r="21" spans="1:38">
      <c r="A21" s="382" t="s">
        <v>272</v>
      </c>
      <c r="B21" s="386">
        <v>1409.274596504998</v>
      </c>
      <c r="C21" s="386">
        <v>1441.3982617140282</v>
      </c>
      <c r="D21" s="386">
        <v>4088.4087392524525</v>
      </c>
      <c r="E21" s="386">
        <v>1046.2542079932173</v>
      </c>
      <c r="F21" s="386">
        <v>1737.8514358364482</v>
      </c>
      <c r="G21" s="386">
        <v>2660.9056559923483</v>
      </c>
      <c r="H21" s="386">
        <v>3145.4680707449443</v>
      </c>
      <c r="I21" s="386">
        <v>4410.9397179080406</v>
      </c>
      <c r="J21" s="386">
        <v>936.81017362707644</v>
      </c>
      <c r="K21" s="386">
        <v>1303.9935050374188</v>
      </c>
      <c r="L21" s="386">
        <v>4937.7141914717704</v>
      </c>
      <c r="M21" s="386">
        <v>2593.8171652971214</v>
      </c>
      <c r="N21" s="386">
        <v>2962.8910049622</v>
      </c>
      <c r="O21" s="386">
        <v>1069.650344169765</v>
      </c>
      <c r="P21" s="386">
        <v>2174.1458040880898</v>
      </c>
      <c r="Q21" s="386">
        <v>2446.1570421288006</v>
      </c>
      <c r="R21" s="386">
        <v>5573.2260239542693</v>
      </c>
      <c r="S21" s="386">
        <v>8459.0714305486799</v>
      </c>
      <c r="T21" s="386">
        <v>7630.7231290025602</v>
      </c>
      <c r="U21" s="386">
        <v>8981.9326214944194</v>
      </c>
      <c r="V21" s="386">
        <v>6672.9019513300254</v>
      </c>
      <c r="W21" s="386">
        <v>14423.618882974624</v>
      </c>
      <c r="X21" s="386">
        <v>7177.4483779474758</v>
      </c>
      <c r="Y21" s="386">
        <v>12626.596837099449</v>
      </c>
      <c r="Z21" s="482">
        <f>'Deuda a emitir'!E115</f>
        <v>0</v>
      </c>
      <c r="AA21" s="31">
        <f>'Deuda a emitir'!F115</f>
        <v>0</v>
      </c>
      <c r="AB21" s="31">
        <f>'Deuda a emitir'!G115</f>
        <v>0</v>
      </c>
      <c r="AC21" s="31">
        <f>'Deuda a emitir'!H115</f>
        <v>0</v>
      </c>
      <c r="AD21" s="31">
        <f>'Deuda a emitir'!I115</f>
        <v>0</v>
      </c>
      <c r="AE21" s="31">
        <f>'Deuda a emitir'!J115</f>
        <v>0</v>
      </c>
      <c r="AF21" s="31">
        <f>'Deuda a emitir'!K115</f>
        <v>0</v>
      </c>
      <c r="AG21" s="31">
        <f>'Deuda a emitir'!L115</f>
        <v>0</v>
      </c>
      <c r="AH21" s="31">
        <f>'Deuda a emitir'!M115</f>
        <v>0</v>
      </c>
      <c r="AI21" s="31">
        <f>'Deuda a emitir'!N115</f>
        <v>0</v>
      </c>
      <c r="AJ21" s="31">
        <f>'Deuda a emitir'!O115</f>
        <v>0</v>
      </c>
      <c r="AK21" s="31">
        <f>'Deuda a emitir'!P115</f>
        <v>0</v>
      </c>
      <c r="AL21" s="31">
        <f>'Deuda a emitir'!Q115</f>
        <v>0</v>
      </c>
    </row>
    <row r="22" spans="1:38" s="175" customFormat="1">
      <c r="A22" s="375" t="s">
        <v>273</v>
      </c>
      <c r="B22" s="376">
        <f t="shared" ref="B22:AL22" si="8">B25+B26</f>
        <v>49932.799691266715</v>
      </c>
      <c r="C22" s="376">
        <f t="shared" si="8"/>
        <v>72237.400867849225</v>
      </c>
      <c r="D22" s="376">
        <f t="shared" si="8"/>
        <v>85185.632458788838</v>
      </c>
      <c r="E22" s="376">
        <f t="shared" si="8"/>
        <v>109952.5175957559</v>
      </c>
      <c r="F22" s="376">
        <f t="shared" si="8"/>
        <v>121149.83414010299</v>
      </c>
      <c r="G22" s="376">
        <f t="shared" si="8"/>
        <v>125379.71036530138</v>
      </c>
      <c r="H22" s="376">
        <f t="shared" si="8"/>
        <v>136680.26149622689</v>
      </c>
      <c r="I22" s="376">
        <f t="shared" si="8"/>
        <v>145847.57273305705</v>
      </c>
      <c r="J22" s="376">
        <f t="shared" si="8"/>
        <v>153178.83891155908</v>
      </c>
      <c r="K22" s="376">
        <f t="shared" si="8"/>
        <v>168038.32422662847</v>
      </c>
      <c r="L22" s="376">
        <f t="shared" si="8"/>
        <v>183310.33011550616</v>
      </c>
      <c r="M22" s="376">
        <f t="shared" si="8"/>
        <v>201264.69578230509</v>
      </c>
      <c r="N22" s="376">
        <f t="shared" si="8"/>
        <v>212913.88582274012</v>
      </c>
      <c r="O22" s="376">
        <f t="shared" si="8"/>
        <v>221068.9342494231</v>
      </c>
      <c r="P22" s="376">
        <f t="shared" si="8"/>
        <v>244131.06905279655</v>
      </c>
      <c r="Q22" s="376">
        <f t="shared" si="8"/>
        <v>280053.18462328822</v>
      </c>
      <c r="R22" s="376">
        <f t="shared" si="8"/>
        <v>336138.9138705011</v>
      </c>
      <c r="S22" s="376">
        <f t="shared" si="8"/>
        <v>372868.8191514393</v>
      </c>
      <c r="T22" s="376">
        <f t="shared" si="8"/>
        <v>403033.21231852047</v>
      </c>
      <c r="U22" s="376">
        <f t="shared" si="8"/>
        <v>457779.02446587139</v>
      </c>
      <c r="V22" s="376">
        <f t="shared" si="8"/>
        <v>512959.64205970318</v>
      </c>
      <c r="W22" s="376">
        <f t="shared" si="8"/>
        <v>605643.58723928884</v>
      </c>
      <c r="X22" s="376">
        <f t="shared" si="8"/>
        <v>716208.64989379386</v>
      </c>
      <c r="Y22" s="376">
        <f t="shared" si="8"/>
        <v>847436.06570238201</v>
      </c>
      <c r="Z22" s="553">
        <f t="shared" si="8"/>
        <v>891882.28923452611</v>
      </c>
      <c r="AA22" s="377" t="e">
        <f t="shared" si="8"/>
        <v>#DIV/0!</v>
      </c>
      <c r="AB22" s="377" t="e">
        <f t="shared" si="8"/>
        <v>#DIV/0!</v>
      </c>
      <c r="AC22" s="377" t="e">
        <f t="shared" si="8"/>
        <v>#DIV/0!</v>
      </c>
      <c r="AD22" s="377" t="e">
        <f t="shared" si="8"/>
        <v>#DIV/0!</v>
      </c>
      <c r="AE22" s="377" t="e">
        <f t="shared" si="8"/>
        <v>#DIV/0!</v>
      </c>
      <c r="AF22" s="377" t="e">
        <f t="shared" si="8"/>
        <v>#DIV/0!</v>
      </c>
      <c r="AG22" s="377" t="e">
        <f t="shared" si="8"/>
        <v>#DIV/0!</v>
      </c>
      <c r="AH22" s="377" t="e">
        <f t="shared" si="8"/>
        <v>#DIV/0!</v>
      </c>
      <c r="AI22" s="377" t="e">
        <f t="shared" si="8"/>
        <v>#DIV/0!</v>
      </c>
      <c r="AJ22" s="377" t="e">
        <f t="shared" si="8"/>
        <v>#DIV/0!</v>
      </c>
      <c r="AK22" s="377" t="e">
        <f t="shared" si="8"/>
        <v>#DIV/0!</v>
      </c>
      <c r="AL22" s="377" t="e">
        <f t="shared" si="8"/>
        <v>#DIV/0!</v>
      </c>
    </row>
    <row r="23" spans="1:38">
      <c r="A23" s="379" t="s">
        <v>274</v>
      </c>
      <c r="B23" s="380">
        <f t="shared" ref="B23:AL23" si="9">B24+B26</f>
        <v>45328.613929566716</v>
      </c>
      <c r="C23" s="380">
        <f t="shared" si="9"/>
        <v>68171.809643660396</v>
      </c>
      <c r="D23" s="380">
        <f t="shared" si="9"/>
        <v>81987.532458788846</v>
      </c>
      <c r="E23" s="380">
        <f t="shared" si="9"/>
        <v>105849.5175957559</v>
      </c>
      <c r="F23" s="380">
        <f t="shared" si="9"/>
        <v>117954.44083564935</v>
      </c>
      <c r="G23" s="380">
        <f t="shared" si="9"/>
        <v>120489.92106912236</v>
      </c>
      <c r="H23" s="380">
        <f t="shared" si="9"/>
        <v>132338.88444369691</v>
      </c>
      <c r="I23" s="380">
        <f t="shared" si="9"/>
        <v>141191.45370398753</v>
      </c>
      <c r="J23" s="380">
        <f t="shared" si="9"/>
        <v>150240.25664783735</v>
      </c>
      <c r="K23" s="380">
        <f t="shared" si="9"/>
        <v>164724.76551866584</v>
      </c>
      <c r="L23" s="380">
        <f t="shared" si="9"/>
        <v>178527.37654795384</v>
      </c>
      <c r="M23" s="380">
        <f t="shared" si="9"/>
        <v>194980.50321780189</v>
      </c>
      <c r="N23" s="380">
        <f t="shared" si="9"/>
        <v>202994.93152529304</v>
      </c>
      <c r="O23" s="380">
        <f t="shared" si="9"/>
        <v>209425.09934018971</v>
      </c>
      <c r="P23" s="380">
        <f t="shared" si="9"/>
        <v>231807.16811679237</v>
      </c>
      <c r="Q23" s="380">
        <f t="shared" si="9"/>
        <v>269802.12184060575</v>
      </c>
      <c r="R23" s="380">
        <f t="shared" si="9"/>
        <v>328210.81690936303</v>
      </c>
      <c r="S23" s="380">
        <f t="shared" si="9"/>
        <v>367286.65525551862</v>
      </c>
      <c r="T23" s="380">
        <f t="shared" si="9"/>
        <v>399229.09935400198</v>
      </c>
      <c r="U23" s="380">
        <f t="shared" si="9"/>
        <v>456942.36036723875</v>
      </c>
      <c r="V23" s="380">
        <f t="shared" si="9"/>
        <v>494888.12176314212</v>
      </c>
      <c r="W23" s="380">
        <f t="shared" si="9"/>
        <v>589902.28026805655</v>
      </c>
      <c r="X23" s="380">
        <f t="shared" si="9"/>
        <v>703755.17372143466</v>
      </c>
      <c r="Y23" s="380">
        <f t="shared" si="9"/>
        <v>843174.20641124086</v>
      </c>
      <c r="Z23" s="554">
        <f t="shared" si="9"/>
        <v>888454.35354753595</v>
      </c>
      <c r="AA23" s="381" t="e">
        <f t="shared" si="9"/>
        <v>#DIV/0!</v>
      </c>
      <c r="AB23" s="381" t="e">
        <f t="shared" si="9"/>
        <v>#DIV/0!</v>
      </c>
      <c r="AC23" s="381" t="e">
        <f t="shared" si="9"/>
        <v>#DIV/0!</v>
      </c>
      <c r="AD23" s="381" t="e">
        <f t="shared" si="9"/>
        <v>#DIV/0!</v>
      </c>
      <c r="AE23" s="381" t="e">
        <f t="shared" si="9"/>
        <v>#DIV/0!</v>
      </c>
      <c r="AF23" s="381" t="e">
        <f t="shared" si="9"/>
        <v>#DIV/0!</v>
      </c>
      <c r="AG23" s="381" t="e">
        <f t="shared" si="9"/>
        <v>#DIV/0!</v>
      </c>
      <c r="AH23" s="381" t="e">
        <f t="shared" si="9"/>
        <v>#DIV/0!</v>
      </c>
      <c r="AI23" s="381" t="e">
        <f t="shared" si="9"/>
        <v>#DIV/0!</v>
      </c>
      <c r="AJ23" s="381" t="e">
        <f t="shared" si="9"/>
        <v>#DIV/0!</v>
      </c>
      <c r="AK23" s="381" t="e">
        <f t="shared" si="9"/>
        <v>#DIV/0!</v>
      </c>
      <c r="AL23" s="381" t="e">
        <f t="shared" si="9"/>
        <v>#DIV/0!</v>
      </c>
    </row>
    <row r="24" spans="1:38" s="133" customFormat="1">
      <c r="A24" s="387" t="s">
        <v>275</v>
      </c>
      <c r="B24" s="385">
        <f t="shared" ref="B24:AL24" si="10">B9-B20</f>
        <v>24095.505166640589</v>
      </c>
      <c r="C24" s="385">
        <f t="shared" si="10"/>
        <v>37677.932971044604</v>
      </c>
      <c r="D24" s="385">
        <f t="shared" si="10"/>
        <v>44333.803880484455</v>
      </c>
      <c r="E24" s="385">
        <f t="shared" si="10"/>
        <v>55318.737820039692</v>
      </c>
      <c r="F24" s="385">
        <f t="shared" si="10"/>
        <v>62881.412660650822</v>
      </c>
      <c r="G24" s="385">
        <f t="shared" si="10"/>
        <v>69795.823322903336</v>
      </c>
      <c r="H24" s="385">
        <f t="shared" si="10"/>
        <v>87858.672672500194</v>
      </c>
      <c r="I24" s="385">
        <f t="shared" si="10"/>
        <v>92989.392588279705</v>
      </c>
      <c r="J24" s="385">
        <f t="shared" si="10"/>
        <v>103524.26450081111</v>
      </c>
      <c r="K24" s="385">
        <f t="shared" si="10"/>
        <v>111435.70018061902</v>
      </c>
      <c r="L24" s="385">
        <f t="shared" si="10"/>
        <v>123770.6686272035</v>
      </c>
      <c r="M24" s="385">
        <f t="shared" si="10"/>
        <v>138268.26547821407</v>
      </c>
      <c r="N24" s="385">
        <f t="shared" si="10"/>
        <v>141977.53078932373</v>
      </c>
      <c r="O24" s="385">
        <f t="shared" si="10"/>
        <v>150975.57507511726</v>
      </c>
      <c r="P24" s="385">
        <f t="shared" si="10"/>
        <v>165262.17028941136</v>
      </c>
      <c r="Q24" s="385">
        <f t="shared" si="10"/>
        <v>182481.04687964814</v>
      </c>
      <c r="R24" s="385">
        <f t="shared" si="10"/>
        <v>204193.5793216587</v>
      </c>
      <c r="S24" s="385">
        <f t="shared" si="10"/>
        <v>241675.93927674135</v>
      </c>
      <c r="T24" s="385">
        <f t="shared" si="10"/>
        <v>264307.69803813868</v>
      </c>
      <c r="U24" s="385">
        <f t="shared" si="10"/>
        <v>301833.94579163683</v>
      </c>
      <c r="V24" s="385">
        <f t="shared" si="10"/>
        <v>332053.44994799339</v>
      </c>
      <c r="W24" s="385">
        <f t="shared" si="10"/>
        <v>374579.97960772691</v>
      </c>
      <c r="X24" s="385">
        <f t="shared" si="10"/>
        <v>418525.81382202631</v>
      </c>
      <c r="Y24" s="385">
        <f t="shared" si="10"/>
        <v>490330.52972568525</v>
      </c>
      <c r="Z24" s="402">
        <f t="shared" si="10"/>
        <v>581746.65782906103</v>
      </c>
      <c r="AA24" s="134">
        <f t="shared" si="10"/>
        <v>508992.31382733502</v>
      </c>
      <c r="AB24" s="134" t="e">
        <f t="shared" si="10"/>
        <v>#DIV/0!</v>
      </c>
      <c r="AC24" s="134" t="e">
        <f t="shared" si="10"/>
        <v>#DIV/0!</v>
      </c>
      <c r="AD24" s="134" t="e">
        <f t="shared" si="10"/>
        <v>#DIV/0!</v>
      </c>
      <c r="AE24" s="134" t="e">
        <f t="shared" si="10"/>
        <v>#DIV/0!</v>
      </c>
      <c r="AF24" s="134" t="e">
        <f t="shared" si="10"/>
        <v>#DIV/0!</v>
      </c>
      <c r="AG24" s="134" t="e">
        <f t="shared" si="10"/>
        <v>#DIV/0!</v>
      </c>
      <c r="AH24" s="134" t="e">
        <f t="shared" si="10"/>
        <v>#DIV/0!</v>
      </c>
      <c r="AI24" s="134" t="e">
        <f t="shared" si="10"/>
        <v>#DIV/0!</v>
      </c>
      <c r="AJ24" s="134" t="e">
        <f t="shared" si="10"/>
        <v>#DIV/0!</v>
      </c>
      <c r="AK24" s="134" t="e">
        <f t="shared" si="10"/>
        <v>#DIV/0!</v>
      </c>
      <c r="AL24" s="134" t="e">
        <f t="shared" si="10"/>
        <v>#DIV/0!</v>
      </c>
    </row>
    <row r="25" spans="1:38">
      <c r="A25" s="382" t="s">
        <v>276</v>
      </c>
      <c r="B25" s="383">
        <f t="shared" ref="B25:AL25" si="11">B8-B20</f>
        <v>28699.690928340591</v>
      </c>
      <c r="C25" s="383">
        <f t="shared" si="11"/>
        <v>41743.52419523344</v>
      </c>
      <c r="D25" s="383">
        <f t="shared" si="11"/>
        <v>47531.903880484453</v>
      </c>
      <c r="E25" s="383">
        <f t="shared" si="11"/>
        <v>59421.737820039692</v>
      </c>
      <c r="F25" s="383">
        <f t="shared" si="11"/>
        <v>66076.80596510446</v>
      </c>
      <c r="G25" s="383">
        <f t="shared" si="11"/>
        <v>74685.612619082342</v>
      </c>
      <c r="H25" s="383">
        <f t="shared" si="11"/>
        <v>92200.049725030171</v>
      </c>
      <c r="I25" s="383">
        <f t="shared" si="11"/>
        <v>97645.511617349213</v>
      </c>
      <c r="J25" s="383">
        <f t="shared" si="11"/>
        <v>106462.84676453285</v>
      </c>
      <c r="K25" s="383">
        <f t="shared" si="11"/>
        <v>114749.25888858165</v>
      </c>
      <c r="L25" s="383">
        <f t="shared" si="11"/>
        <v>128553.62219475582</v>
      </c>
      <c r="M25" s="383">
        <f t="shared" si="11"/>
        <v>144552.45804271728</v>
      </c>
      <c r="N25" s="383">
        <f t="shared" si="11"/>
        <v>151896.48508677082</v>
      </c>
      <c r="O25" s="383">
        <f t="shared" si="11"/>
        <v>162619.40998435064</v>
      </c>
      <c r="P25" s="383">
        <f t="shared" si="11"/>
        <v>177586.07122541554</v>
      </c>
      <c r="Q25" s="383">
        <f t="shared" si="11"/>
        <v>192732.10966233065</v>
      </c>
      <c r="R25" s="383">
        <f t="shared" si="11"/>
        <v>212121.67628279678</v>
      </c>
      <c r="S25" s="383">
        <f t="shared" si="11"/>
        <v>247258.10317266203</v>
      </c>
      <c r="T25" s="383">
        <f t="shared" si="11"/>
        <v>268111.81100265717</v>
      </c>
      <c r="U25" s="383">
        <f t="shared" si="11"/>
        <v>302670.60989026946</v>
      </c>
      <c r="V25" s="383">
        <f t="shared" si="11"/>
        <v>350124.97024455445</v>
      </c>
      <c r="W25" s="383">
        <f t="shared" si="11"/>
        <v>390321.28657895926</v>
      </c>
      <c r="X25" s="383">
        <f t="shared" si="11"/>
        <v>430979.2899943855</v>
      </c>
      <c r="Y25" s="383">
        <f t="shared" si="11"/>
        <v>494592.3890168264</v>
      </c>
      <c r="Z25" s="400">
        <f t="shared" si="11"/>
        <v>585174.59351605119</v>
      </c>
      <c r="AA25" s="31">
        <f t="shared" si="11"/>
        <v>508992.31382733502</v>
      </c>
      <c r="AB25" s="31" t="e">
        <f t="shared" si="11"/>
        <v>#DIV/0!</v>
      </c>
      <c r="AC25" s="31" t="e">
        <f t="shared" si="11"/>
        <v>#DIV/0!</v>
      </c>
      <c r="AD25" s="31" t="e">
        <f t="shared" si="11"/>
        <v>#DIV/0!</v>
      </c>
      <c r="AE25" s="31" t="e">
        <f t="shared" si="11"/>
        <v>#DIV/0!</v>
      </c>
      <c r="AF25" s="31" t="e">
        <f t="shared" si="11"/>
        <v>#DIV/0!</v>
      </c>
      <c r="AG25" s="31" t="e">
        <f t="shared" si="11"/>
        <v>#DIV/0!</v>
      </c>
      <c r="AH25" s="31" t="e">
        <f t="shared" si="11"/>
        <v>#DIV/0!</v>
      </c>
      <c r="AI25" s="31" t="e">
        <f t="shared" si="11"/>
        <v>#DIV/0!</v>
      </c>
      <c r="AJ25" s="31" t="e">
        <f t="shared" si="11"/>
        <v>#DIV/0!</v>
      </c>
      <c r="AK25" s="31" t="e">
        <f t="shared" si="11"/>
        <v>#DIV/0!</v>
      </c>
      <c r="AL25" s="31" t="e">
        <f t="shared" si="11"/>
        <v>#DIV/0!</v>
      </c>
    </row>
    <row r="26" spans="1:38">
      <c r="A26" s="388" t="s">
        <v>277</v>
      </c>
      <c r="B26" s="389">
        <f t="shared" ref="B26:AL26" si="12">B10-B21</f>
        <v>21233.108762926127</v>
      </c>
      <c r="C26" s="389">
        <f t="shared" si="12"/>
        <v>30493.876672615788</v>
      </c>
      <c r="D26" s="389">
        <f t="shared" si="12"/>
        <v>37653.728578304392</v>
      </c>
      <c r="E26" s="389">
        <f t="shared" si="12"/>
        <v>50530.779775716212</v>
      </c>
      <c r="F26" s="389">
        <f t="shared" si="12"/>
        <v>55073.028174998537</v>
      </c>
      <c r="G26" s="389">
        <f t="shared" si="12"/>
        <v>50694.097746219028</v>
      </c>
      <c r="H26" s="389">
        <f t="shared" si="12"/>
        <v>44480.211771196708</v>
      </c>
      <c r="I26" s="389">
        <f t="shared" si="12"/>
        <v>48202.061115707831</v>
      </c>
      <c r="J26" s="389">
        <f t="shared" si="12"/>
        <v>46715.99214702622</v>
      </c>
      <c r="K26" s="389">
        <f t="shared" si="12"/>
        <v>53289.065338046814</v>
      </c>
      <c r="L26" s="389">
        <f t="shared" si="12"/>
        <v>54756.707920750341</v>
      </c>
      <c r="M26" s="389">
        <f t="shared" si="12"/>
        <v>56712.237739587807</v>
      </c>
      <c r="N26" s="389">
        <f t="shared" si="12"/>
        <v>61017.400735969306</v>
      </c>
      <c r="O26" s="389">
        <f t="shared" si="12"/>
        <v>58449.524265072439</v>
      </c>
      <c r="P26" s="389">
        <f t="shared" si="12"/>
        <v>66544.997827381012</v>
      </c>
      <c r="Q26" s="389">
        <f t="shared" si="12"/>
        <v>87321.074960957572</v>
      </c>
      <c r="R26" s="389">
        <f t="shared" si="12"/>
        <v>124017.23758770435</v>
      </c>
      <c r="S26" s="389">
        <f t="shared" si="12"/>
        <v>125610.71597877727</v>
      </c>
      <c r="T26" s="389">
        <f t="shared" si="12"/>
        <v>134921.4013158633</v>
      </c>
      <c r="U26" s="389">
        <f t="shared" si="12"/>
        <v>155108.4145756019</v>
      </c>
      <c r="V26" s="389">
        <f t="shared" si="12"/>
        <v>162834.67181514873</v>
      </c>
      <c r="W26" s="389">
        <f t="shared" si="12"/>
        <v>215322.30066032958</v>
      </c>
      <c r="X26" s="389">
        <f t="shared" si="12"/>
        <v>285229.35989940836</v>
      </c>
      <c r="Y26" s="389">
        <f t="shared" si="12"/>
        <v>352843.67668555555</v>
      </c>
      <c r="Z26" s="555">
        <f t="shared" si="12"/>
        <v>306707.69571847492</v>
      </c>
      <c r="AA26" s="312" t="e">
        <f t="shared" si="12"/>
        <v>#DIV/0!</v>
      </c>
      <c r="AB26" s="312" t="e">
        <f t="shared" si="12"/>
        <v>#DIV/0!</v>
      </c>
      <c r="AC26" s="312" t="e">
        <f t="shared" si="12"/>
        <v>#DIV/0!</v>
      </c>
      <c r="AD26" s="312" t="e">
        <f t="shared" si="12"/>
        <v>#DIV/0!</v>
      </c>
      <c r="AE26" s="312" t="e">
        <f t="shared" si="12"/>
        <v>#DIV/0!</v>
      </c>
      <c r="AF26" s="312" t="e">
        <f t="shared" si="12"/>
        <v>#DIV/0!</v>
      </c>
      <c r="AG26" s="312" t="e">
        <f t="shared" si="12"/>
        <v>#DIV/0!</v>
      </c>
      <c r="AH26" s="312" t="e">
        <f t="shared" si="12"/>
        <v>#DIV/0!</v>
      </c>
      <c r="AI26" s="312" t="e">
        <f t="shared" si="12"/>
        <v>#DIV/0!</v>
      </c>
      <c r="AJ26" s="312" t="e">
        <f t="shared" si="12"/>
        <v>#DIV/0!</v>
      </c>
      <c r="AK26" s="312" t="e">
        <f t="shared" si="12"/>
        <v>#DIV/0!</v>
      </c>
      <c r="AL26" s="312" t="e">
        <f t="shared" si="12"/>
        <v>#DIV/0!</v>
      </c>
    </row>
    <row r="27" spans="1:38">
      <c r="A27" s="2" t="s">
        <v>362</v>
      </c>
      <c r="B27" s="31"/>
      <c r="C27" s="31"/>
      <c r="D27" s="31"/>
      <c r="E27" s="31"/>
      <c r="F27" s="31"/>
      <c r="G27" s="31"/>
      <c r="H27" s="31"/>
      <c r="I27" s="31"/>
      <c r="J27" s="31"/>
      <c r="K27" s="31"/>
      <c r="L27" s="31"/>
      <c r="M27" s="31"/>
      <c r="U27" s="31"/>
      <c r="V27" s="31"/>
      <c r="W27" s="31"/>
      <c r="X27" s="31"/>
      <c r="Y27" s="31"/>
      <c r="Z27" s="31"/>
      <c r="AA27" s="31"/>
      <c r="AB27" s="378"/>
      <c r="AC27" s="390"/>
      <c r="AD27" s="390"/>
      <c r="AE27" s="390"/>
      <c r="AF27" s="390"/>
      <c r="AG27" s="390"/>
      <c r="AH27" s="390"/>
      <c r="AI27" s="390"/>
      <c r="AJ27" s="390"/>
      <c r="AK27" s="390"/>
      <c r="AL27" s="390"/>
    </row>
    <row r="28" spans="1:38">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2"/>
      <c r="AB28" s="392"/>
      <c r="AC28" s="392"/>
      <c r="AD28" s="392"/>
      <c r="AE28" s="392"/>
      <c r="AF28" s="392"/>
      <c r="AG28" s="392"/>
      <c r="AH28" s="392"/>
      <c r="AI28" s="392"/>
      <c r="AJ28" s="392"/>
      <c r="AK28" s="392"/>
      <c r="AL28" s="392"/>
    </row>
    <row r="29" spans="1:38">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3"/>
      <c r="AB29" s="392"/>
      <c r="AC29" s="392"/>
      <c r="AD29" s="392"/>
      <c r="AE29" s="392"/>
      <c r="AF29" s="392"/>
      <c r="AG29" s="392"/>
      <c r="AH29" s="392"/>
      <c r="AI29" s="392"/>
      <c r="AJ29" s="392"/>
      <c r="AK29" s="392"/>
      <c r="AL29" s="392"/>
    </row>
    <row r="30" spans="1:38">
      <c r="A30" s="374" t="s">
        <v>33</v>
      </c>
      <c r="B30" s="369">
        <v>36525</v>
      </c>
      <c r="C30" s="369">
        <v>36891</v>
      </c>
      <c r="D30" s="369">
        <v>37256</v>
      </c>
      <c r="E30" s="369">
        <v>37621</v>
      </c>
      <c r="F30" s="369">
        <v>37986</v>
      </c>
      <c r="G30" s="369">
        <v>38352</v>
      </c>
      <c r="H30" s="369">
        <v>38717</v>
      </c>
      <c r="I30" s="369">
        <v>39082</v>
      </c>
      <c r="J30" s="369">
        <v>39447</v>
      </c>
      <c r="K30" s="369">
        <v>39813</v>
      </c>
      <c r="L30" s="369">
        <v>40178</v>
      </c>
      <c r="M30" s="369">
        <v>40543</v>
      </c>
      <c r="N30" s="369">
        <v>40908</v>
      </c>
      <c r="O30" s="369">
        <v>41274</v>
      </c>
      <c r="P30" s="369">
        <v>41639</v>
      </c>
      <c r="Q30" s="369">
        <v>42004</v>
      </c>
      <c r="R30" s="369">
        <v>42369</v>
      </c>
      <c r="S30" s="369">
        <v>42735</v>
      </c>
      <c r="T30" s="369">
        <v>43100</v>
      </c>
      <c r="U30" s="369">
        <v>43465</v>
      </c>
      <c r="V30" s="369">
        <v>43830</v>
      </c>
      <c r="W30" s="369">
        <v>44196</v>
      </c>
      <c r="X30" s="369">
        <v>44561</v>
      </c>
      <c r="Y30" s="369">
        <v>44926</v>
      </c>
      <c r="Z30" s="394">
        <v>45291</v>
      </c>
      <c r="AA30" s="369">
        <v>45657</v>
      </c>
      <c r="AB30" s="369">
        <v>46022</v>
      </c>
      <c r="AC30" s="369">
        <v>46387</v>
      </c>
      <c r="AD30" s="369">
        <v>46752</v>
      </c>
      <c r="AE30" s="369">
        <v>47118</v>
      </c>
      <c r="AF30" s="369">
        <v>47483</v>
      </c>
      <c r="AG30" s="369">
        <v>47848</v>
      </c>
      <c r="AH30" s="369">
        <v>48213</v>
      </c>
      <c r="AI30" s="369">
        <v>48579</v>
      </c>
      <c r="AJ30" s="369">
        <v>48944</v>
      </c>
      <c r="AK30" s="369">
        <v>49309</v>
      </c>
      <c r="AL30" s="369">
        <v>49310</v>
      </c>
    </row>
    <row r="31" spans="1:38" s="175" customFormat="1">
      <c r="A31" s="395" t="s">
        <v>278</v>
      </c>
      <c r="B31" s="396">
        <f t="shared" ref="B31:AL31" si="13">B32+B35</f>
        <v>3466.2957384172132</v>
      </c>
      <c r="C31" s="396">
        <f t="shared" si="13"/>
        <v>4437.4364152031403</v>
      </c>
      <c r="D31" s="396">
        <f t="shared" si="13"/>
        <v>4648.6593176283504</v>
      </c>
      <c r="E31" s="396">
        <f t="shared" si="13"/>
        <v>4701.5963259314258</v>
      </c>
      <c r="F31" s="396">
        <f t="shared" si="13"/>
        <v>5868.3700501064905</v>
      </c>
      <c r="G31" s="396">
        <f t="shared" si="13"/>
        <v>6559.2027018347799</v>
      </c>
      <c r="H31" s="396">
        <f t="shared" si="13"/>
        <v>6248.5105781294733</v>
      </c>
      <c r="I31" s="396">
        <f t="shared" si="13"/>
        <v>10012.940095138985</v>
      </c>
      <c r="J31" s="396">
        <f t="shared" si="13"/>
        <v>12049.723760372854</v>
      </c>
      <c r="K31" s="396">
        <f t="shared" si="13"/>
        <v>11703.575062532393</v>
      </c>
      <c r="L31" s="396">
        <f t="shared" si="13"/>
        <v>11303.239830509086</v>
      </c>
      <c r="M31" s="396">
        <f t="shared" si="13"/>
        <v>11195.484654022843</v>
      </c>
      <c r="N31" s="396">
        <f t="shared" si="13"/>
        <v>13230.406543617009</v>
      </c>
      <c r="O31" s="396">
        <f t="shared" si="13"/>
        <v>13514.429685309407</v>
      </c>
      <c r="P31" s="396">
        <f t="shared" si="13"/>
        <v>12824.400914443395</v>
      </c>
      <c r="Q31" s="396">
        <f t="shared" si="13"/>
        <v>13233.923343656224</v>
      </c>
      <c r="R31" s="396">
        <f t="shared" si="13"/>
        <v>15269.042792427619</v>
      </c>
      <c r="S31" s="397">
        <f t="shared" si="13"/>
        <v>19420.206226544295</v>
      </c>
      <c r="T31" s="397">
        <f t="shared" si="13"/>
        <v>20307.718482987995</v>
      </c>
      <c r="U31" s="398">
        <f t="shared" si="13"/>
        <v>20842.254834797473</v>
      </c>
      <c r="V31" s="398">
        <f t="shared" si="13"/>
        <v>23193.585106212962</v>
      </c>
      <c r="W31" s="398">
        <f t="shared" si="13"/>
        <v>19960.622188376143</v>
      </c>
      <c r="X31" s="398">
        <f t="shared" si="13"/>
        <v>30309.010550730258</v>
      </c>
      <c r="Y31" s="398">
        <f t="shared" si="13"/>
        <v>52123.326765281818</v>
      </c>
      <c r="Z31" s="399">
        <f t="shared" si="13"/>
        <v>47707.109708276279</v>
      </c>
      <c r="AA31" s="378">
        <f t="shared" si="13"/>
        <v>62434</v>
      </c>
      <c r="AB31" s="378" t="e">
        <f t="shared" si="13"/>
        <v>#DIV/0!</v>
      </c>
      <c r="AC31" s="378" t="e">
        <f t="shared" si="13"/>
        <v>#DIV/0!</v>
      </c>
      <c r="AD31" s="378" t="e">
        <f t="shared" si="13"/>
        <v>#DIV/0!</v>
      </c>
      <c r="AE31" s="378" t="e">
        <f t="shared" si="13"/>
        <v>#DIV/0!</v>
      </c>
      <c r="AF31" s="378" t="e">
        <f t="shared" si="13"/>
        <v>#DIV/0!</v>
      </c>
      <c r="AG31" s="378" t="e">
        <f t="shared" si="13"/>
        <v>#DIV/0!</v>
      </c>
      <c r="AH31" s="378" t="e">
        <f t="shared" si="13"/>
        <v>#DIV/0!</v>
      </c>
      <c r="AI31" s="378" t="e">
        <f t="shared" si="13"/>
        <v>#DIV/0!</v>
      </c>
      <c r="AJ31" s="378" t="e">
        <f t="shared" si="13"/>
        <v>#DIV/0!</v>
      </c>
      <c r="AK31" s="378" t="e">
        <f t="shared" si="13"/>
        <v>#DIV/0!</v>
      </c>
      <c r="AL31" s="378" t="e">
        <f t="shared" si="13"/>
        <v>#DIV/0!</v>
      </c>
    </row>
    <row r="32" spans="1:38">
      <c r="A32" s="51" t="s">
        <v>151</v>
      </c>
      <c r="B32" s="386">
        <v>3466.2957384172132</v>
      </c>
      <c r="C32" s="386">
        <v>4373.8208338987406</v>
      </c>
      <c r="D32" s="386">
        <v>4382.5811641562495</v>
      </c>
      <c r="E32" s="386">
        <v>4280.8883224639258</v>
      </c>
      <c r="F32" s="386">
        <v>5306.2919901924915</v>
      </c>
      <c r="G32" s="386">
        <v>5943.9800050574804</v>
      </c>
      <c r="H32" s="386">
        <f t="shared" ref="H32:Z32" si="14">H33-H34</f>
        <v>5613.1543036369712</v>
      </c>
      <c r="I32" s="386">
        <f t="shared" si="14"/>
        <v>9375.7999807296874</v>
      </c>
      <c r="J32" s="386">
        <f t="shared" si="14"/>
        <v>11157.865971470243</v>
      </c>
      <c r="K32" s="386">
        <f t="shared" si="14"/>
        <v>10261.161959619023</v>
      </c>
      <c r="L32" s="386">
        <f t="shared" si="14"/>
        <v>10736.712996562719</v>
      </c>
      <c r="M32" s="386">
        <f t="shared" si="14"/>
        <v>10561.148154314857</v>
      </c>
      <c r="N32" s="386">
        <f t="shared" si="14"/>
        <v>12069.085082580426</v>
      </c>
      <c r="O32" s="386">
        <f t="shared" si="14"/>
        <v>12538.305611606451</v>
      </c>
      <c r="P32" s="386">
        <f t="shared" si="14"/>
        <v>12265.141243071015</v>
      </c>
      <c r="Q32" s="386">
        <f t="shared" si="14"/>
        <v>11848.25401193984</v>
      </c>
      <c r="R32" s="386">
        <f t="shared" si="14"/>
        <v>12244.40056633253</v>
      </c>
      <c r="S32" s="386">
        <f t="shared" si="14"/>
        <v>15566.244958188247</v>
      </c>
      <c r="T32" s="386">
        <f t="shared" si="14"/>
        <v>17350.794858165958</v>
      </c>
      <c r="U32" s="386">
        <f t="shared" si="14"/>
        <v>18115.770553911694</v>
      </c>
      <c r="V32" s="386">
        <f t="shared" si="14"/>
        <v>19288.076173603607</v>
      </c>
      <c r="W32" s="386">
        <f t="shared" si="14"/>
        <v>18222.026327894961</v>
      </c>
      <c r="X32" s="386">
        <f t="shared" si="14"/>
        <v>24655.565673680645</v>
      </c>
      <c r="Y32" s="383">
        <f t="shared" si="14"/>
        <v>35377.526732090118</v>
      </c>
      <c r="Z32" s="400">
        <f t="shared" si="14"/>
        <v>32141.380228771886</v>
      </c>
      <c r="AA32" s="31">
        <f>'Deuda a emitir'!F762</f>
        <v>50290</v>
      </c>
      <c r="AB32" s="31" t="e">
        <f>'Deuda a emitir'!G762</f>
        <v>#DIV/0!</v>
      </c>
      <c r="AC32" s="31" t="e">
        <f>'Deuda a emitir'!H762</f>
        <v>#DIV/0!</v>
      </c>
      <c r="AD32" s="31" t="e">
        <f>'Deuda a emitir'!I762</f>
        <v>#DIV/0!</v>
      </c>
      <c r="AE32" s="31" t="e">
        <f>'Deuda a emitir'!J762</f>
        <v>#DIV/0!</v>
      </c>
      <c r="AF32" s="31" t="e">
        <f>'Deuda a emitir'!K762</f>
        <v>#DIV/0!</v>
      </c>
      <c r="AG32" s="31" t="e">
        <f>'Deuda a emitir'!L762</f>
        <v>#DIV/0!</v>
      </c>
      <c r="AH32" s="31" t="e">
        <f>'Deuda a emitir'!M762</f>
        <v>#DIV/0!</v>
      </c>
      <c r="AI32" s="31" t="e">
        <f>'Deuda a emitir'!N762</f>
        <v>#DIV/0!</v>
      </c>
      <c r="AJ32" s="31" t="e">
        <f>'Deuda a emitir'!O762</f>
        <v>#DIV/0!</v>
      </c>
      <c r="AK32" s="31" t="e">
        <f>'Deuda a emitir'!P762</f>
        <v>#DIV/0!</v>
      </c>
      <c r="AL32" s="31" t="e">
        <f>'Deuda a emitir'!Q762</f>
        <v>#DIV/0!</v>
      </c>
    </row>
    <row r="33" spans="1:38" s="133" customFormat="1">
      <c r="A33" s="387" t="s">
        <v>279</v>
      </c>
      <c r="B33" s="401"/>
      <c r="C33" s="401"/>
      <c r="D33" s="401"/>
      <c r="E33" s="401"/>
      <c r="F33" s="401"/>
      <c r="G33" s="401"/>
      <c r="H33" s="401">
        <v>8541.4779216412408</v>
      </c>
      <c r="I33" s="401">
        <v>10189.378648478561</v>
      </c>
      <c r="J33" s="401">
        <v>11762.248074898242</v>
      </c>
      <c r="K33" s="401">
        <v>11368.817194543142</v>
      </c>
      <c r="L33" s="401">
        <v>11848.77135183853</v>
      </c>
      <c r="M33" s="401">
        <v>11481.22413436026</v>
      </c>
      <c r="N33" s="401">
        <v>13282.550553347846</v>
      </c>
      <c r="O33" s="401">
        <v>13215.177664084369</v>
      </c>
      <c r="P33" s="401">
        <v>13063.831102528531</v>
      </c>
      <c r="Q33" s="401">
        <v>13811.84310935177</v>
      </c>
      <c r="R33" s="401">
        <v>14684.468217491129</v>
      </c>
      <c r="S33" s="401">
        <v>16881.438871110448</v>
      </c>
      <c r="T33" s="401">
        <v>18534.838635027179</v>
      </c>
      <c r="U33" s="385">
        <v>19178.817685356094</v>
      </c>
      <c r="V33" s="385">
        <v>20947.488854178588</v>
      </c>
      <c r="W33" s="385">
        <v>21068.50513456489</v>
      </c>
      <c r="X33" s="385">
        <v>23574.535407410305</v>
      </c>
      <c r="Y33" s="385">
        <v>26941.526732090122</v>
      </c>
      <c r="Z33" s="402">
        <v>29156.647832448238</v>
      </c>
      <c r="AA33" s="134">
        <f t="shared" ref="AA33:AL33" si="15">AA32+AA34</f>
        <v>50290</v>
      </c>
      <c r="AB33" s="134" t="e">
        <f t="shared" si="15"/>
        <v>#DIV/0!</v>
      </c>
      <c r="AC33" s="134" t="e">
        <f t="shared" si="15"/>
        <v>#DIV/0!</v>
      </c>
      <c r="AD33" s="134" t="e">
        <f t="shared" si="15"/>
        <v>#DIV/0!</v>
      </c>
      <c r="AE33" s="134" t="e">
        <f t="shared" si="15"/>
        <v>#DIV/0!</v>
      </c>
      <c r="AF33" s="134" t="e">
        <f t="shared" si="15"/>
        <v>#DIV/0!</v>
      </c>
      <c r="AG33" s="134" t="e">
        <f t="shared" si="15"/>
        <v>#DIV/0!</v>
      </c>
      <c r="AH33" s="134" t="e">
        <f t="shared" si="15"/>
        <v>#DIV/0!</v>
      </c>
      <c r="AI33" s="134" t="e">
        <f t="shared" si="15"/>
        <v>#DIV/0!</v>
      </c>
      <c r="AJ33" s="134" t="e">
        <f t="shared" si="15"/>
        <v>#DIV/0!</v>
      </c>
      <c r="AK33" s="134" t="e">
        <f t="shared" si="15"/>
        <v>#DIV/0!</v>
      </c>
      <c r="AL33" s="134" t="e">
        <f t="shared" si="15"/>
        <v>#DIV/0!</v>
      </c>
    </row>
    <row r="34" spans="1:38" s="133" customFormat="1">
      <c r="A34" s="387" t="s">
        <v>280</v>
      </c>
      <c r="B34" s="401"/>
      <c r="C34" s="401"/>
      <c r="D34" s="401"/>
      <c r="E34" s="401"/>
      <c r="F34" s="401"/>
      <c r="G34" s="401"/>
      <c r="H34" s="401">
        <v>2928.32361800427</v>
      </c>
      <c r="I34" s="401">
        <v>813.57866774887498</v>
      </c>
      <c r="J34" s="401">
        <v>604.38210342799903</v>
      </c>
      <c r="K34" s="401">
        <v>1107.6552349241199</v>
      </c>
      <c r="L34" s="401">
        <v>1112.0583552758101</v>
      </c>
      <c r="M34" s="401">
        <v>920.07598004540296</v>
      </c>
      <c r="N34" s="401">
        <v>1213.4654707674199</v>
      </c>
      <c r="O34" s="401">
        <v>676.87205247791906</v>
      </c>
      <c r="P34" s="401">
        <v>798.68985945751501</v>
      </c>
      <c r="Q34" s="401">
        <v>1963.58909741193</v>
      </c>
      <c r="R34" s="401">
        <v>2440.0676511585998</v>
      </c>
      <c r="S34" s="401">
        <v>1315.1939129222001</v>
      </c>
      <c r="T34" s="401">
        <v>1184.0437768612201</v>
      </c>
      <c r="U34" s="401">
        <v>1063.0471314444001</v>
      </c>
      <c r="V34" s="385">
        <v>1659.4126805749797</v>
      </c>
      <c r="W34" s="385">
        <v>2846.4788066699298</v>
      </c>
      <c r="X34" s="385">
        <v>-1081.03026627034</v>
      </c>
      <c r="Y34" s="385">
        <v>-8436</v>
      </c>
      <c r="Z34" s="402">
        <v>-2984.7323963236499</v>
      </c>
      <c r="AA34" s="134">
        <f>'Deuda a emitir'!F759</f>
        <v>0</v>
      </c>
      <c r="AB34" s="134" t="e">
        <f>'Deuda a emitir'!G759</f>
        <v>#DIV/0!</v>
      </c>
      <c r="AC34" s="134" t="e">
        <f>'Deuda a emitir'!H759</f>
        <v>#DIV/0!</v>
      </c>
      <c r="AD34" s="134" t="e">
        <f>'Deuda a emitir'!I759</f>
        <v>#DIV/0!</v>
      </c>
      <c r="AE34" s="134" t="e">
        <f>'Deuda a emitir'!J759</f>
        <v>#DIV/0!</v>
      </c>
      <c r="AF34" s="134" t="e">
        <f>'Deuda a emitir'!K759</f>
        <v>#DIV/0!</v>
      </c>
      <c r="AG34" s="134" t="e">
        <f>'Deuda a emitir'!L759</f>
        <v>#DIV/0!</v>
      </c>
      <c r="AH34" s="134" t="e">
        <f>'Deuda a emitir'!M759</f>
        <v>#DIV/0!</v>
      </c>
      <c r="AI34" s="134" t="e">
        <f>'Deuda a emitir'!N759</f>
        <v>#DIV/0!</v>
      </c>
      <c r="AJ34" s="134" t="e">
        <f>'Deuda a emitir'!O759</f>
        <v>#DIV/0!</v>
      </c>
      <c r="AK34" s="134" t="e">
        <f>'Deuda a emitir'!P759</f>
        <v>#DIV/0!</v>
      </c>
      <c r="AL34" s="134" t="e">
        <f>'Deuda a emitir'!Q759</f>
        <v>#DIV/0!</v>
      </c>
    </row>
    <row r="35" spans="1:38">
      <c r="A35" s="51" t="s">
        <v>152</v>
      </c>
      <c r="B35" s="386">
        <v>0</v>
      </c>
      <c r="C35" s="386">
        <v>63.615581304400116</v>
      </c>
      <c r="D35" s="386">
        <v>266.07815347210112</v>
      </c>
      <c r="E35" s="386">
        <v>420.70800346750008</v>
      </c>
      <c r="F35" s="386">
        <v>562.07805991399937</v>
      </c>
      <c r="G35" s="386">
        <v>615.22269677729901</v>
      </c>
      <c r="H35" s="386">
        <v>635.35627449250251</v>
      </c>
      <c r="I35" s="386">
        <v>637.14011440929721</v>
      </c>
      <c r="J35" s="386">
        <v>891.85778890261122</v>
      </c>
      <c r="K35" s="386">
        <v>1442.4131029133694</v>
      </c>
      <c r="L35" s="386">
        <v>566.52683394636642</v>
      </c>
      <c r="M35" s="386">
        <v>634.33649970798558</v>
      </c>
      <c r="N35" s="386">
        <v>1161.3214610365826</v>
      </c>
      <c r="O35" s="386">
        <v>976.12407370295648</v>
      </c>
      <c r="P35" s="386">
        <v>559.2596713723799</v>
      </c>
      <c r="Q35" s="386">
        <v>1385.6693317163836</v>
      </c>
      <c r="R35" s="386">
        <v>3024.642226095089</v>
      </c>
      <c r="S35" s="386">
        <v>3853.9612683560481</v>
      </c>
      <c r="T35" s="386">
        <v>2956.9236248220373</v>
      </c>
      <c r="U35" s="383">
        <v>2726.4842808857811</v>
      </c>
      <c r="V35" s="383">
        <v>3905.5089326093539</v>
      </c>
      <c r="W35" s="383">
        <v>1738.5958604811824</v>
      </c>
      <c r="X35" s="383">
        <v>5653.4448770496128</v>
      </c>
      <c r="Y35" s="383">
        <v>16745.800033191699</v>
      </c>
      <c r="Z35" s="400">
        <v>15565.729479504393</v>
      </c>
      <c r="AA35" s="31">
        <f>'Deuda a emitir'!F765</f>
        <v>12144</v>
      </c>
      <c r="AB35" s="31">
        <f>'Deuda a emitir'!G765</f>
        <v>11444</v>
      </c>
      <c r="AC35" s="31" t="e">
        <f>'Deuda a emitir'!H765</f>
        <v>#DIV/0!</v>
      </c>
      <c r="AD35" s="31" t="e">
        <f>'Deuda a emitir'!I765</f>
        <v>#DIV/0!</v>
      </c>
      <c r="AE35" s="31" t="e">
        <f>'Deuda a emitir'!J765</f>
        <v>#DIV/0!</v>
      </c>
      <c r="AF35" s="31" t="e">
        <f>'Deuda a emitir'!K765</f>
        <v>#DIV/0!</v>
      </c>
      <c r="AG35" s="31" t="e">
        <f>'Deuda a emitir'!L765</f>
        <v>#DIV/0!</v>
      </c>
      <c r="AH35" s="31" t="e">
        <f>'Deuda a emitir'!M765</f>
        <v>#DIV/0!</v>
      </c>
      <c r="AI35" s="31" t="e">
        <f>'Deuda a emitir'!N765</f>
        <v>#DIV/0!</v>
      </c>
      <c r="AJ35" s="31" t="e">
        <f>'Deuda a emitir'!O765</f>
        <v>#DIV/0!</v>
      </c>
      <c r="AK35" s="31" t="e">
        <f>'Deuda a emitir'!P765</f>
        <v>#DIV/0!</v>
      </c>
      <c r="AL35" s="31" t="e">
        <f>'Deuda a emitir'!Q765</f>
        <v>#DIV/0!</v>
      </c>
    </row>
    <row r="36" spans="1:38">
      <c r="A36" s="51" t="s">
        <v>148</v>
      </c>
      <c r="B36" s="386">
        <v>1559.2081505675342</v>
      </c>
      <c r="C36" s="386">
        <v>2256.4076826820778</v>
      </c>
      <c r="D36" s="386">
        <v>3114.4122857460297</v>
      </c>
      <c r="E36" s="386">
        <v>3621.5118038225596</v>
      </c>
      <c r="F36" s="386">
        <v>4349.2168602734355</v>
      </c>
      <c r="G36" s="386">
        <v>4319.9651645068861</v>
      </c>
      <c r="H36" s="386">
        <v>4267.7382494983494</v>
      </c>
      <c r="I36" s="386">
        <v>3951.5048581791498</v>
      </c>
      <c r="J36" s="386">
        <v>3858.56287400778</v>
      </c>
      <c r="K36" s="386">
        <v>3662.0019920317836</v>
      </c>
      <c r="L36" s="386">
        <v>3845.8949669410499</v>
      </c>
      <c r="M36" s="386">
        <v>3651.5373952825557</v>
      </c>
      <c r="N36" s="386">
        <v>3567.8899575928344</v>
      </c>
      <c r="O36" s="386">
        <v>3537.888609949191</v>
      </c>
      <c r="P36" s="386">
        <v>3539.0908937731692</v>
      </c>
      <c r="Q36" s="386">
        <v>3745.5111035248351</v>
      </c>
      <c r="R36" s="386">
        <v>5376.7744933387394</v>
      </c>
      <c r="S36" s="386">
        <v>5961.5056369217318</v>
      </c>
      <c r="T36" s="386">
        <v>6309.2277371112641</v>
      </c>
      <c r="U36" s="383">
        <v>6631.7487859690928</v>
      </c>
      <c r="V36" s="383">
        <v>7606.8045147471739</v>
      </c>
      <c r="W36" s="383">
        <v>8375.9266015161975</v>
      </c>
      <c r="X36" s="383">
        <v>9368.5317207481294</v>
      </c>
      <c r="Y36" s="383">
        <v>11041.879070675972</v>
      </c>
      <c r="Z36" s="400">
        <v>13760.6</v>
      </c>
      <c r="AA36" s="31">
        <f>'Deuda a emitir'!F770</f>
        <v>0</v>
      </c>
      <c r="AB36" s="31" t="e">
        <f>'Deuda a emitir'!G770</f>
        <v>#DIV/0!</v>
      </c>
      <c r="AC36" s="31" t="e">
        <f>'Deuda a emitir'!H770</f>
        <v>#DIV/0!</v>
      </c>
      <c r="AD36" s="31" t="e">
        <f>'Deuda a emitir'!I770</f>
        <v>#DIV/0!</v>
      </c>
      <c r="AE36" s="31" t="e">
        <f>'Deuda a emitir'!J770</f>
        <v>#DIV/0!</v>
      </c>
      <c r="AF36" s="31" t="e">
        <f>'Deuda a emitir'!K770</f>
        <v>#DIV/0!</v>
      </c>
      <c r="AG36" s="31" t="e">
        <f>'Deuda a emitir'!L770</f>
        <v>#DIV/0!</v>
      </c>
      <c r="AH36" s="31" t="e">
        <f>'Deuda a emitir'!M770</f>
        <v>#DIV/0!</v>
      </c>
      <c r="AI36" s="31" t="e">
        <f>'Deuda a emitir'!N770</f>
        <v>#DIV/0!</v>
      </c>
      <c r="AJ36" s="31" t="e">
        <f>'Deuda a emitir'!O770</f>
        <v>#DIV/0!</v>
      </c>
      <c r="AK36" s="31" t="e">
        <f>'Deuda a emitir'!P770</f>
        <v>#DIV/0!</v>
      </c>
      <c r="AL36" s="31" t="e">
        <f>'Deuda a emitir'!Q770</f>
        <v>#DIV/0!</v>
      </c>
    </row>
    <row r="37" spans="1:38" s="175" customFormat="1">
      <c r="A37" s="403" t="s">
        <v>281</v>
      </c>
      <c r="B37" s="404">
        <f t="shared" ref="B37:AL37" si="16">+B36+B31</f>
        <v>5025.5038889847474</v>
      </c>
      <c r="C37" s="404">
        <f t="shared" si="16"/>
        <v>6693.8440978852177</v>
      </c>
      <c r="D37" s="404">
        <f t="shared" si="16"/>
        <v>7763.0716033743802</v>
      </c>
      <c r="E37" s="404">
        <f t="shared" si="16"/>
        <v>8323.1081297539858</v>
      </c>
      <c r="F37" s="404">
        <f t="shared" si="16"/>
        <v>10217.586910379927</v>
      </c>
      <c r="G37" s="404">
        <f t="shared" si="16"/>
        <v>10879.167866341666</v>
      </c>
      <c r="H37" s="404">
        <f t="shared" si="16"/>
        <v>10516.248827627824</v>
      </c>
      <c r="I37" s="404">
        <f t="shared" si="16"/>
        <v>13964.444953318136</v>
      </c>
      <c r="J37" s="404">
        <f t="shared" si="16"/>
        <v>15908.286634380634</v>
      </c>
      <c r="K37" s="404">
        <f t="shared" si="16"/>
        <v>15365.577054564175</v>
      </c>
      <c r="L37" s="404">
        <f t="shared" si="16"/>
        <v>15149.134797450137</v>
      </c>
      <c r="M37" s="404">
        <f t="shared" si="16"/>
        <v>14847.022049305398</v>
      </c>
      <c r="N37" s="404">
        <f t="shared" si="16"/>
        <v>16798.296501209843</v>
      </c>
      <c r="O37" s="404">
        <f t="shared" si="16"/>
        <v>17052.318295258599</v>
      </c>
      <c r="P37" s="404">
        <f t="shared" si="16"/>
        <v>16363.491808216564</v>
      </c>
      <c r="Q37" s="404">
        <f t="shared" si="16"/>
        <v>16979.434447181058</v>
      </c>
      <c r="R37" s="404">
        <f t="shared" si="16"/>
        <v>20645.817285766359</v>
      </c>
      <c r="S37" s="404">
        <f t="shared" si="16"/>
        <v>25381.711863466026</v>
      </c>
      <c r="T37" s="404">
        <f t="shared" si="16"/>
        <v>26616.94622009926</v>
      </c>
      <c r="U37" s="404">
        <f t="shared" si="16"/>
        <v>27474.003620766565</v>
      </c>
      <c r="V37" s="404">
        <f t="shared" si="16"/>
        <v>30800.389620960137</v>
      </c>
      <c r="W37" s="404">
        <f t="shared" si="16"/>
        <v>28336.548789892338</v>
      </c>
      <c r="X37" s="404">
        <f t="shared" si="16"/>
        <v>39677.542271478385</v>
      </c>
      <c r="Y37" s="404">
        <f t="shared" si="16"/>
        <v>63165.205835957793</v>
      </c>
      <c r="Z37" s="405">
        <f t="shared" si="16"/>
        <v>61467.709708276278</v>
      </c>
      <c r="AA37" s="406">
        <f t="shared" si="16"/>
        <v>62434</v>
      </c>
      <c r="AB37" s="406" t="e">
        <f t="shared" si="16"/>
        <v>#DIV/0!</v>
      </c>
      <c r="AC37" s="406" t="e">
        <f t="shared" si="16"/>
        <v>#DIV/0!</v>
      </c>
      <c r="AD37" s="406" t="e">
        <f t="shared" si="16"/>
        <v>#DIV/0!</v>
      </c>
      <c r="AE37" s="406" t="e">
        <f t="shared" si="16"/>
        <v>#DIV/0!</v>
      </c>
      <c r="AF37" s="406" t="e">
        <f t="shared" si="16"/>
        <v>#DIV/0!</v>
      </c>
      <c r="AG37" s="406" t="e">
        <f t="shared" si="16"/>
        <v>#DIV/0!</v>
      </c>
      <c r="AH37" s="406" t="e">
        <f t="shared" si="16"/>
        <v>#DIV/0!</v>
      </c>
      <c r="AI37" s="406" t="e">
        <f t="shared" si="16"/>
        <v>#DIV/0!</v>
      </c>
      <c r="AJ37" s="406" t="e">
        <f t="shared" si="16"/>
        <v>#DIV/0!</v>
      </c>
      <c r="AK37" s="406" t="e">
        <f t="shared" si="16"/>
        <v>#DIV/0!</v>
      </c>
      <c r="AL37" s="406" t="e">
        <f t="shared" si="16"/>
        <v>#DIV/0!</v>
      </c>
    </row>
    <row r="38" spans="1:38" s="175" customFormat="1">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row>
    <row r="39" spans="1:38">
      <c r="A39" s="374" t="s">
        <v>282</v>
      </c>
      <c r="B39" s="369">
        <v>36525</v>
      </c>
      <c r="C39" s="369">
        <v>36891</v>
      </c>
      <c r="D39" s="369">
        <v>37256</v>
      </c>
      <c r="E39" s="369">
        <v>37621</v>
      </c>
      <c r="F39" s="369">
        <v>37986</v>
      </c>
      <c r="G39" s="369">
        <v>38352</v>
      </c>
      <c r="H39" s="369">
        <v>38717</v>
      </c>
      <c r="I39" s="369">
        <v>39082</v>
      </c>
      <c r="J39" s="369">
        <v>39447</v>
      </c>
      <c r="K39" s="369">
        <v>39813</v>
      </c>
      <c r="L39" s="369">
        <v>40178</v>
      </c>
      <c r="M39" s="369">
        <v>40543</v>
      </c>
      <c r="N39" s="369">
        <v>40908</v>
      </c>
      <c r="O39" s="369">
        <v>41274</v>
      </c>
      <c r="P39" s="369">
        <v>41639</v>
      </c>
      <c r="Q39" s="369">
        <v>42004</v>
      </c>
      <c r="R39" s="369">
        <v>42369</v>
      </c>
      <c r="S39" s="369">
        <v>42735</v>
      </c>
      <c r="T39" s="369">
        <v>43100</v>
      </c>
      <c r="U39" s="369">
        <v>43465</v>
      </c>
      <c r="V39" s="369">
        <v>43830</v>
      </c>
      <c r="W39" s="369">
        <v>44196</v>
      </c>
      <c r="X39" s="369">
        <v>44561</v>
      </c>
      <c r="Y39" s="369">
        <v>44926</v>
      </c>
      <c r="Z39" s="394">
        <v>45291</v>
      </c>
      <c r="AA39" s="369">
        <v>45657</v>
      </c>
      <c r="AB39" s="369">
        <v>46022</v>
      </c>
      <c r="AC39" s="369">
        <v>46387</v>
      </c>
      <c r="AD39" s="369">
        <v>46752</v>
      </c>
      <c r="AE39" s="369">
        <v>47118</v>
      </c>
      <c r="AF39" s="369">
        <v>47483</v>
      </c>
      <c r="AG39" s="369">
        <v>47848</v>
      </c>
      <c r="AH39" s="369">
        <v>48213</v>
      </c>
      <c r="AI39" s="369">
        <v>48579</v>
      </c>
      <c r="AJ39" s="369">
        <v>48944</v>
      </c>
      <c r="AK39" s="369">
        <v>49309</v>
      </c>
      <c r="AL39" s="369">
        <v>49310</v>
      </c>
    </row>
    <row r="40" spans="1:38">
      <c r="A40" s="407" t="s">
        <v>283</v>
      </c>
      <c r="B40" s="408">
        <v>12002.884725142943</v>
      </c>
      <c r="C40" s="408">
        <v>12026.353303863829</v>
      </c>
      <c r="D40" s="408">
        <v>13812.010236958009</v>
      </c>
      <c r="E40" s="408">
        <v>13331.59472507787</v>
      </c>
      <c r="F40" s="408">
        <v>13394.462129323289</v>
      </c>
      <c r="G40" s="408">
        <v>15596.79157719477</v>
      </c>
      <c r="H40" s="408">
        <v>25757.178145905731</v>
      </c>
      <c r="I40" s="408">
        <v>22580.308996699128</v>
      </c>
      <c r="J40" s="408">
        <v>18578.820581044001</v>
      </c>
      <c r="K40" s="408">
        <v>22851.997260127882</v>
      </c>
      <c r="L40" s="408">
        <v>24744.546151605187</v>
      </c>
      <c r="M40" s="408">
        <v>26776.686017471598</v>
      </c>
      <c r="N40" s="408">
        <v>28209.913683845585</v>
      </c>
      <c r="O40" s="408">
        <v>24612.465902923082</v>
      </c>
      <c r="P40" s="408">
        <v>29600.905252649485</v>
      </c>
      <c r="Q40" s="408">
        <v>32023.392274983926</v>
      </c>
      <c r="R40" s="408">
        <v>29246.420861371029</v>
      </c>
      <c r="S40" s="408">
        <v>35299.874764113796</v>
      </c>
      <c r="T40" s="408">
        <v>36140.579666014783</v>
      </c>
      <c r="U40" s="409">
        <v>37911.966010088603</v>
      </c>
      <c r="V40" s="409">
        <v>23952.75331546702</v>
      </c>
      <c r="W40" s="409">
        <v>42625.58079203208</v>
      </c>
      <c r="X40" s="409">
        <v>55310.119436347944</v>
      </c>
      <c r="Y40" s="409">
        <v>50163.242997442314</v>
      </c>
      <c r="Z40" s="400">
        <v>45744.960000795974</v>
      </c>
      <c r="AA40" s="410">
        <f>'Deuda a emitir'!F739</f>
        <v>0</v>
      </c>
      <c r="AB40" s="410" t="e">
        <f>'Deuda a emitir'!G739</f>
        <v>#DIV/0!</v>
      </c>
      <c r="AC40" s="410" t="e">
        <f>'Deuda a emitir'!H739</f>
        <v>#DIV/0!</v>
      </c>
      <c r="AD40" s="410" t="e">
        <f>'Deuda a emitir'!I739</f>
        <v>#DIV/0!</v>
      </c>
      <c r="AE40" s="410" t="e">
        <f>'Deuda a emitir'!J739</f>
        <v>#DIV/0!</v>
      </c>
      <c r="AF40" s="410" t="e">
        <f>'Deuda a emitir'!K739</f>
        <v>#DIV/0!</v>
      </c>
      <c r="AG40" s="410" t="e">
        <f>'Deuda a emitir'!L739</f>
        <v>#DIV/0!</v>
      </c>
      <c r="AH40" s="410" t="e">
        <f>'Deuda a emitir'!M739</f>
        <v>#DIV/0!</v>
      </c>
      <c r="AI40" s="410" t="e">
        <f>'Deuda a emitir'!N739</f>
        <v>#DIV/0!</v>
      </c>
      <c r="AJ40" s="410" t="e">
        <f>'Deuda a emitir'!O739</f>
        <v>#DIV/0!</v>
      </c>
      <c r="AK40" s="410" t="e">
        <f>'Deuda a emitir'!P739</f>
        <v>#DIV/0!</v>
      </c>
      <c r="AL40" s="410" t="e">
        <f>'Deuda a emitir'!Q739</f>
        <v>#DIV/0!</v>
      </c>
    </row>
    <row r="41" spans="1:38">
      <c r="A41" s="382" t="s">
        <v>284</v>
      </c>
      <c r="B41" s="386">
        <v>5102.2693492350418</v>
      </c>
      <c r="C41" s="386">
        <v>5730.547654496816</v>
      </c>
      <c r="D41" s="386">
        <v>12589.777830629637</v>
      </c>
      <c r="E41" s="386">
        <v>5093.8571898576911</v>
      </c>
      <c r="F41" s="386">
        <v>12783.584647104981</v>
      </c>
      <c r="G41" s="386">
        <v>6978.1272434921757</v>
      </c>
      <c r="H41" s="386">
        <v>7058.7478062150149</v>
      </c>
      <c r="I41" s="386">
        <v>10090.499178439608</v>
      </c>
      <c r="J41" s="386">
        <v>2502.7783761600917</v>
      </c>
      <c r="K41" s="386">
        <v>5866.3478318110947</v>
      </c>
      <c r="L41" s="386">
        <v>11924.837296667367</v>
      </c>
      <c r="M41" s="386">
        <v>6305.4060020254974</v>
      </c>
      <c r="N41" s="386">
        <v>5656.7889523560889</v>
      </c>
      <c r="O41" s="386">
        <v>4483.2770466489656</v>
      </c>
      <c r="P41" s="386">
        <v>7522.8300499652532</v>
      </c>
      <c r="Q41" s="386">
        <v>10881.813775149323</v>
      </c>
      <c r="R41" s="386">
        <v>18755.784933081239</v>
      </c>
      <c r="S41" s="386">
        <v>14423.858742371942</v>
      </c>
      <c r="T41" s="386">
        <v>15135.012224541606</v>
      </c>
      <c r="U41" s="383">
        <v>12371.143128760483</v>
      </c>
      <c r="V41" s="383">
        <v>12362.577071252472</v>
      </c>
      <c r="W41" s="383">
        <v>38668.248409657979</v>
      </c>
      <c r="X41" s="383">
        <v>32848.599904499737</v>
      </c>
      <c r="Y41" s="383">
        <v>20904.221926255294</v>
      </c>
      <c r="Z41" s="400">
        <v>27777.683580732592</v>
      </c>
      <c r="AA41" s="31">
        <f>'Deuda a emitir'!F751</f>
        <v>0</v>
      </c>
      <c r="AB41" s="31" t="e">
        <f>'Deuda a emitir'!G751</f>
        <v>#DIV/0!</v>
      </c>
      <c r="AC41" s="31" t="e">
        <f>'Deuda a emitir'!H751</f>
        <v>#DIV/0!</v>
      </c>
      <c r="AD41" s="31" t="e">
        <f>'Deuda a emitir'!I751</f>
        <v>#DIV/0!</v>
      </c>
      <c r="AE41" s="31" t="e">
        <f>'Deuda a emitir'!J751</f>
        <v>#DIV/0!</v>
      </c>
      <c r="AF41" s="31" t="e">
        <f>'Deuda a emitir'!K751</f>
        <v>#DIV/0!</v>
      </c>
      <c r="AG41" s="31" t="e">
        <f>'Deuda a emitir'!L751</f>
        <v>#DIV/0!</v>
      </c>
      <c r="AH41" s="31" t="e">
        <f>'Deuda a emitir'!M751</f>
        <v>#DIV/0!</v>
      </c>
      <c r="AI41" s="31" t="e">
        <f>'Deuda a emitir'!N751</f>
        <v>#DIV/0!</v>
      </c>
      <c r="AJ41" s="31" t="e">
        <f>'Deuda a emitir'!O751</f>
        <v>#DIV/0!</v>
      </c>
      <c r="AK41" s="31" t="e">
        <f>'Deuda a emitir'!P751</f>
        <v>#DIV/0!</v>
      </c>
      <c r="AL41" s="31" t="e">
        <f>'Deuda a emitir'!Q751</f>
        <v>#DIV/0!</v>
      </c>
    </row>
    <row r="42" spans="1:38" s="175" customFormat="1">
      <c r="A42" s="395" t="s">
        <v>285</v>
      </c>
      <c r="B42" s="396">
        <f t="shared" ref="B42:Z42" si="17">B40+B41</f>
        <v>17105.154074377984</v>
      </c>
      <c r="C42" s="396">
        <f t="shared" si="17"/>
        <v>17756.900958360646</v>
      </c>
      <c r="D42" s="396">
        <f t="shared" si="17"/>
        <v>26401.788067587644</v>
      </c>
      <c r="E42" s="396">
        <f t="shared" si="17"/>
        <v>18425.451914935562</v>
      </c>
      <c r="F42" s="396">
        <f t="shared" si="17"/>
        <v>26178.046776428269</v>
      </c>
      <c r="G42" s="396">
        <f t="shared" si="17"/>
        <v>22574.918820686944</v>
      </c>
      <c r="H42" s="396">
        <f t="shared" si="17"/>
        <v>32815.925952120742</v>
      </c>
      <c r="I42" s="396">
        <f t="shared" si="17"/>
        <v>32670.808175138736</v>
      </c>
      <c r="J42" s="396">
        <f t="shared" si="17"/>
        <v>21081.598957204093</v>
      </c>
      <c r="K42" s="396">
        <f t="shared" si="17"/>
        <v>28718.345091938976</v>
      </c>
      <c r="L42" s="396">
        <f t="shared" si="17"/>
        <v>36669.383448272551</v>
      </c>
      <c r="M42" s="396">
        <f t="shared" si="17"/>
        <v>33082.092019497097</v>
      </c>
      <c r="N42" s="396">
        <f t="shared" si="17"/>
        <v>33866.702636201677</v>
      </c>
      <c r="O42" s="396">
        <f t="shared" si="17"/>
        <v>29095.74294957205</v>
      </c>
      <c r="P42" s="396">
        <f t="shared" si="17"/>
        <v>37123.735302614739</v>
      </c>
      <c r="Q42" s="396">
        <f t="shared" si="17"/>
        <v>42905.206050133245</v>
      </c>
      <c r="R42" s="396">
        <f t="shared" si="17"/>
        <v>48002.205794452268</v>
      </c>
      <c r="S42" s="396">
        <f t="shared" si="17"/>
        <v>49723.73350648574</v>
      </c>
      <c r="T42" s="396">
        <f t="shared" si="17"/>
        <v>51275.591890556389</v>
      </c>
      <c r="U42" s="411">
        <f t="shared" si="17"/>
        <v>50283.10913884909</v>
      </c>
      <c r="V42" s="411">
        <f t="shared" si="17"/>
        <v>36315.330386719492</v>
      </c>
      <c r="W42" s="411">
        <f t="shared" si="17"/>
        <v>81293.829201690067</v>
      </c>
      <c r="X42" s="411">
        <f t="shared" si="17"/>
        <v>88158.719340847689</v>
      </c>
      <c r="Y42" s="411">
        <f t="shared" si="17"/>
        <v>71067.464923697611</v>
      </c>
      <c r="Z42" s="412">
        <f t="shared" si="17"/>
        <v>73522.643581528566</v>
      </c>
      <c r="AA42" s="378">
        <f>AA40+AA41</f>
        <v>0</v>
      </c>
      <c r="AB42" s="378" t="e">
        <f t="shared" ref="AB42:AL42" si="18">AB40+AB41</f>
        <v>#DIV/0!</v>
      </c>
      <c r="AC42" s="378" t="e">
        <f t="shared" si="18"/>
        <v>#DIV/0!</v>
      </c>
      <c r="AD42" s="378" t="e">
        <f t="shared" si="18"/>
        <v>#DIV/0!</v>
      </c>
      <c r="AE42" s="378" t="e">
        <f t="shared" si="18"/>
        <v>#DIV/0!</v>
      </c>
      <c r="AF42" s="378" t="e">
        <f t="shared" si="18"/>
        <v>#DIV/0!</v>
      </c>
      <c r="AG42" s="378" t="e">
        <f t="shared" si="18"/>
        <v>#DIV/0!</v>
      </c>
      <c r="AH42" s="378" t="e">
        <f t="shared" si="18"/>
        <v>#DIV/0!</v>
      </c>
      <c r="AI42" s="378" t="e">
        <f t="shared" si="18"/>
        <v>#DIV/0!</v>
      </c>
      <c r="AJ42" s="378" t="e">
        <f t="shared" si="18"/>
        <v>#DIV/0!</v>
      </c>
      <c r="AK42" s="378" t="e">
        <f t="shared" si="18"/>
        <v>#DIV/0!</v>
      </c>
      <c r="AL42" s="378" t="e">
        <f t="shared" si="18"/>
        <v>#DIV/0!</v>
      </c>
    </row>
    <row r="43" spans="1:38">
      <c r="A43" s="382" t="s">
        <v>286</v>
      </c>
      <c r="B43" s="386">
        <v>6289.7043842070307</v>
      </c>
      <c r="C43" s="386">
        <v>5368.0865265513303</v>
      </c>
      <c r="D43" s="386">
        <v>7925.0900642811748</v>
      </c>
      <c r="E43" s="386">
        <v>6803.3665306889015</v>
      </c>
      <c r="F43" s="386">
        <v>7090.2209999999995</v>
      </c>
      <c r="G43" s="386">
        <v>9306.7766272238314</v>
      </c>
      <c r="H43" s="386">
        <v>9422.243959182857</v>
      </c>
      <c r="I43" s="386">
        <v>15519.987650870509</v>
      </c>
      <c r="J43" s="386">
        <v>17115.348444622632</v>
      </c>
      <c r="K43" s="386">
        <v>15825.97417782171</v>
      </c>
      <c r="L43" s="386">
        <v>12610.934266176941</v>
      </c>
      <c r="M43" s="386">
        <v>13011.325867058293</v>
      </c>
      <c r="N43" s="386">
        <v>13545.019355887202</v>
      </c>
      <c r="O43" s="386">
        <v>13895.136849124399</v>
      </c>
      <c r="P43" s="386">
        <v>17359.819864988862</v>
      </c>
      <c r="Q43" s="386">
        <v>17037.330354611902</v>
      </c>
      <c r="R43" s="386">
        <v>19602.29082384233</v>
      </c>
      <c r="S43" s="386">
        <v>12033.758258212212</v>
      </c>
      <c r="T43" s="386">
        <v>14474.401073723877</v>
      </c>
      <c r="U43" s="386">
        <v>6706.9397489047751</v>
      </c>
      <c r="V43" s="386">
        <v>24680.701504623517</v>
      </c>
      <c r="W43" s="386">
        <v>8495.0820328929385</v>
      </c>
      <c r="X43" s="386">
        <v>17683.183924628051</v>
      </c>
      <c r="Y43" s="386">
        <v>18252.738923708301</v>
      </c>
      <c r="Z43" s="400">
        <v>13826.500391936879</v>
      </c>
      <c r="AA43" s="31">
        <f>('Deuda a emitir'!F140+'Deuda a emitir'!F150)</f>
        <v>7188.4229892234271</v>
      </c>
      <c r="AB43" s="31">
        <f>('Deuda a emitir'!G140+'Deuda a emitir'!G150)</f>
        <v>26874</v>
      </c>
      <c r="AC43" s="31">
        <f>('Deuda a emitir'!H140+'Deuda a emitir'!H150)</f>
        <v>30622.012042999999</v>
      </c>
      <c r="AD43" s="31">
        <f>('Deuda a emitir'!I140+'Deuda a emitir'!I150)</f>
        <v>44365.378420724759</v>
      </c>
      <c r="AE43" s="31">
        <f>('Deuda a emitir'!J140+'Deuda a emitir'!J150)</f>
        <v>33744.509313000002</v>
      </c>
      <c r="AF43" s="31">
        <f>('Deuda a emitir'!K140+'Deuda a emitir'!K150)</f>
        <v>18574.045028411401</v>
      </c>
      <c r="AG43" s="31" t="e">
        <f>('Deuda a emitir'!L140+'Deuda a emitir'!L150)</f>
        <v>#DIV/0!</v>
      </c>
      <c r="AH43" s="31" t="e">
        <f>('Deuda a emitir'!M140+'Deuda a emitir'!M150)</f>
        <v>#DIV/0!</v>
      </c>
      <c r="AI43" s="31" t="e">
        <f>('Deuda a emitir'!N140+'Deuda a emitir'!N150)</f>
        <v>#DIV/0!</v>
      </c>
      <c r="AJ43" s="31" t="e">
        <f>('Deuda a emitir'!O140+'Deuda a emitir'!O150)</f>
        <v>#DIV/0!</v>
      </c>
      <c r="AK43" s="31" t="e">
        <f>('Deuda a emitir'!P140+'Deuda a emitir'!P150)</f>
        <v>#DIV/0!</v>
      </c>
      <c r="AL43" s="31" t="e">
        <f>('Deuda a emitir'!Q140+'Deuda a emitir'!Q150)</f>
        <v>#DIV/0!</v>
      </c>
    </row>
    <row r="44" spans="1:38">
      <c r="A44" s="382" t="s">
        <v>287</v>
      </c>
      <c r="B44" s="386">
        <v>1857.7492827712804</v>
      </c>
      <c r="C44" s="386">
        <v>2056.3662416956058</v>
      </c>
      <c r="D44" s="386">
        <v>3843.3646395864275</v>
      </c>
      <c r="E44" s="386">
        <v>5112.9258483815465</v>
      </c>
      <c r="F44" s="386">
        <v>7184.0235078808319</v>
      </c>
      <c r="G44" s="386">
        <v>3531.9205006363336</v>
      </c>
      <c r="H44" s="386">
        <v>8137.99601819076</v>
      </c>
      <c r="I44" s="386">
        <v>4689.7211887819603</v>
      </c>
      <c r="J44" s="386">
        <v>3378.0031631777297</v>
      </c>
      <c r="K44" s="386">
        <v>3364.3221493282099</v>
      </c>
      <c r="L44" s="386">
        <v>2683.2774116565697</v>
      </c>
      <c r="M44" s="386">
        <v>3331.4713302567884</v>
      </c>
      <c r="N44" s="386">
        <v>2243.9825503814764</v>
      </c>
      <c r="O44" s="386">
        <v>3591.654794767991</v>
      </c>
      <c r="P44" s="386">
        <v>2859.5052132475939</v>
      </c>
      <c r="Q44" s="386">
        <v>4824.3496204674357</v>
      </c>
      <c r="R44" s="386">
        <v>6056.6426236120715</v>
      </c>
      <c r="S44" s="386">
        <v>3558.2776791098577</v>
      </c>
      <c r="T44" s="386">
        <v>7688.0841535040008</v>
      </c>
      <c r="U44" s="386">
        <v>2954.8419708902634</v>
      </c>
      <c r="V44" s="386">
        <v>8011.6886963175793</v>
      </c>
      <c r="W44" s="386">
        <v>6388.8783713057192</v>
      </c>
      <c r="X44" s="386">
        <v>10847.47832525973</v>
      </c>
      <c r="Y44" s="386">
        <v>4196.9259834415898</v>
      </c>
      <c r="Z44" s="400">
        <v>12627.245368243743</v>
      </c>
      <c r="AA44" s="31">
        <f>('Deuda a emitir'!F145+'Deuda a emitir'!F156)</f>
        <v>0</v>
      </c>
      <c r="AB44" s="31">
        <f>('Deuda a emitir'!G145+'Deuda a emitir'!G156)</f>
        <v>0</v>
      </c>
      <c r="AC44" s="31">
        <f>('Deuda a emitir'!H145+'Deuda a emitir'!H156)</f>
        <v>0</v>
      </c>
      <c r="AD44" s="31">
        <f>('Deuda a emitir'!I145+'Deuda a emitir'!I156)</f>
        <v>0</v>
      </c>
      <c r="AE44" s="31">
        <f>('Deuda a emitir'!J145+'Deuda a emitir'!J156)</f>
        <v>0</v>
      </c>
      <c r="AF44" s="31" t="e">
        <f>('Deuda a emitir'!K145+'Deuda a emitir'!K156)</f>
        <v>#DIV/0!</v>
      </c>
      <c r="AG44" s="31" t="e">
        <f>('Deuda a emitir'!L145+'Deuda a emitir'!L156)</f>
        <v>#DIV/0!</v>
      </c>
      <c r="AH44" s="31" t="e">
        <f>('Deuda a emitir'!M145+'Deuda a emitir'!M156)</f>
        <v>#DIV/0!</v>
      </c>
      <c r="AI44" s="31" t="e">
        <f>('Deuda a emitir'!N145+'Deuda a emitir'!N156)</f>
        <v>#DIV/0!</v>
      </c>
      <c r="AJ44" s="31" t="e">
        <f>('Deuda a emitir'!O145+'Deuda a emitir'!O156)</f>
        <v>#DIV/0!</v>
      </c>
      <c r="AK44" s="31" t="e">
        <f>('Deuda a emitir'!P145+'Deuda a emitir'!P156)</f>
        <v>#DIV/0!</v>
      </c>
      <c r="AL44" s="31" t="e">
        <f>('Deuda a emitir'!Q145+'Deuda a emitir'!Q156)</f>
        <v>#DIV/0!</v>
      </c>
    </row>
    <row r="45" spans="1:38" s="175" customFormat="1">
      <c r="A45" s="395" t="s">
        <v>288</v>
      </c>
      <c r="B45" s="396">
        <f t="shared" ref="B45:Z45" si="19">B43+B44</f>
        <v>8147.453666978311</v>
      </c>
      <c r="C45" s="396">
        <f t="shared" si="19"/>
        <v>7424.4527682469361</v>
      </c>
      <c r="D45" s="396">
        <f t="shared" si="19"/>
        <v>11768.454703867603</v>
      </c>
      <c r="E45" s="396">
        <f t="shared" si="19"/>
        <v>11916.292379070448</v>
      </c>
      <c r="F45" s="396">
        <f t="shared" si="19"/>
        <v>14274.24450788083</v>
      </c>
      <c r="G45" s="396">
        <f t="shared" si="19"/>
        <v>12838.697127860165</v>
      </c>
      <c r="H45" s="396">
        <f t="shared" si="19"/>
        <v>17560.239977373618</v>
      </c>
      <c r="I45" s="396">
        <f t="shared" si="19"/>
        <v>20209.70883965247</v>
      </c>
      <c r="J45" s="396">
        <f t="shared" si="19"/>
        <v>20493.351607800363</v>
      </c>
      <c r="K45" s="396">
        <f t="shared" si="19"/>
        <v>19190.296327149921</v>
      </c>
      <c r="L45" s="396">
        <f t="shared" si="19"/>
        <v>15294.211677833511</v>
      </c>
      <c r="M45" s="396">
        <f t="shared" si="19"/>
        <v>16342.797197315082</v>
      </c>
      <c r="N45" s="396">
        <f t="shared" si="19"/>
        <v>15789.001906268677</v>
      </c>
      <c r="O45" s="396">
        <f t="shared" si="19"/>
        <v>17486.791643892389</v>
      </c>
      <c r="P45" s="396">
        <f t="shared" si="19"/>
        <v>20219.325078236456</v>
      </c>
      <c r="Q45" s="396">
        <f t="shared" si="19"/>
        <v>21861.679975079336</v>
      </c>
      <c r="R45" s="396">
        <f t="shared" si="19"/>
        <v>25658.933447454401</v>
      </c>
      <c r="S45" s="396">
        <f t="shared" si="19"/>
        <v>15592.035937322071</v>
      </c>
      <c r="T45" s="396">
        <f t="shared" si="19"/>
        <v>22162.485227227877</v>
      </c>
      <c r="U45" s="411">
        <f t="shared" si="19"/>
        <v>9661.781719795039</v>
      </c>
      <c r="V45" s="411">
        <f t="shared" si="19"/>
        <v>32692.390200941096</v>
      </c>
      <c r="W45" s="411">
        <f t="shared" si="19"/>
        <v>14883.960404198657</v>
      </c>
      <c r="X45" s="411">
        <f t="shared" si="19"/>
        <v>28530.66224988778</v>
      </c>
      <c r="Y45" s="411">
        <f t="shared" si="19"/>
        <v>22449.66490714989</v>
      </c>
      <c r="Z45" s="412">
        <f t="shared" si="19"/>
        <v>26453.745760180624</v>
      </c>
      <c r="AA45" s="378">
        <f>AA43+AA44</f>
        <v>7188.4229892234271</v>
      </c>
      <c r="AB45" s="378">
        <f t="shared" ref="AB45:AL45" si="20">AB43+AB44</f>
        <v>26874</v>
      </c>
      <c r="AC45" s="378">
        <f t="shared" si="20"/>
        <v>30622.012042999999</v>
      </c>
      <c r="AD45" s="378">
        <f t="shared" si="20"/>
        <v>44365.378420724759</v>
      </c>
      <c r="AE45" s="378">
        <f t="shared" si="20"/>
        <v>33744.509313000002</v>
      </c>
      <c r="AF45" s="378" t="e">
        <f t="shared" si="20"/>
        <v>#DIV/0!</v>
      </c>
      <c r="AG45" s="378" t="e">
        <f t="shared" si="20"/>
        <v>#DIV/0!</v>
      </c>
      <c r="AH45" s="378" t="e">
        <f t="shared" si="20"/>
        <v>#DIV/0!</v>
      </c>
      <c r="AI45" s="378" t="e">
        <f t="shared" si="20"/>
        <v>#DIV/0!</v>
      </c>
      <c r="AJ45" s="378" t="e">
        <f t="shared" si="20"/>
        <v>#DIV/0!</v>
      </c>
      <c r="AK45" s="378" t="e">
        <f t="shared" si="20"/>
        <v>#DIV/0!</v>
      </c>
      <c r="AL45" s="378" t="e">
        <f t="shared" si="20"/>
        <v>#DIV/0!</v>
      </c>
    </row>
    <row r="46" spans="1:38" s="175" customFormat="1">
      <c r="A46" s="395" t="s">
        <v>289</v>
      </c>
      <c r="B46" s="396">
        <f t="shared" ref="B46:AL46" si="21">B37-B35</f>
        <v>5025.5038889847474</v>
      </c>
      <c r="C46" s="396">
        <f t="shared" si="21"/>
        <v>6630.228516580818</v>
      </c>
      <c r="D46" s="396">
        <f t="shared" si="21"/>
        <v>7496.9934499022793</v>
      </c>
      <c r="E46" s="396">
        <f t="shared" si="21"/>
        <v>7902.4001262864858</v>
      </c>
      <c r="F46" s="396">
        <f t="shared" si="21"/>
        <v>9655.508850465927</v>
      </c>
      <c r="G46" s="396">
        <f t="shared" si="21"/>
        <v>10263.945169564367</v>
      </c>
      <c r="H46" s="396">
        <f t="shared" si="21"/>
        <v>9880.8925531353216</v>
      </c>
      <c r="I46" s="396">
        <f t="shared" si="21"/>
        <v>13327.304838908838</v>
      </c>
      <c r="J46" s="396">
        <f t="shared" si="21"/>
        <v>15016.428845478024</v>
      </c>
      <c r="K46" s="396">
        <f t="shared" si="21"/>
        <v>13923.163951650806</v>
      </c>
      <c r="L46" s="396">
        <f t="shared" si="21"/>
        <v>14582.607963503771</v>
      </c>
      <c r="M46" s="396">
        <f t="shared" si="21"/>
        <v>14212.685549597412</v>
      </c>
      <c r="N46" s="396">
        <f t="shared" si="21"/>
        <v>15636.97504017326</v>
      </c>
      <c r="O46" s="396">
        <f t="shared" si="21"/>
        <v>16076.194221555643</v>
      </c>
      <c r="P46" s="396">
        <f t="shared" si="21"/>
        <v>15804.232136844184</v>
      </c>
      <c r="Q46" s="396">
        <f t="shared" si="21"/>
        <v>15593.765115464674</v>
      </c>
      <c r="R46" s="396">
        <f t="shared" si="21"/>
        <v>17621.17505967127</v>
      </c>
      <c r="S46" s="396">
        <f t="shared" si="21"/>
        <v>21527.750595109977</v>
      </c>
      <c r="T46" s="396">
        <f t="shared" si="21"/>
        <v>23660.022595277223</v>
      </c>
      <c r="U46" s="411">
        <f t="shared" si="21"/>
        <v>24747.519339880782</v>
      </c>
      <c r="V46" s="411">
        <f t="shared" si="21"/>
        <v>26894.880688350782</v>
      </c>
      <c r="W46" s="411">
        <f t="shared" si="21"/>
        <v>26597.952929411156</v>
      </c>
      <c r="X46" s="411">
        <f t="shared" si="21"/>
        <v>34024.097394428769</v>
      </c>
      <c r="Y46" s="411">
        <f t="shared" si="21"/>
        <v>46419.405802766094</v>
      </c>
      <c r="Z46" s="412">
        <f t="shared" si="21"/>
        <v>45901.980228771885</v>
      </c>
      <c r="AA46" s="378">
        <f t="shared" si="21"/>
        <v>50290</v>
      </c>
      <c r="AB46" s="378" t="e">
        <f t="shared" si="21"/>
        <v>#DIV/0!</v>
      </c>
      <c r="AC46" s="378" t="e">
        <f t="shared" si="21"/>
        <v>#DIV/0!</v>
      </c>
      <c r="AD46" s="378" t="e">
        <f t="shared" si="21"/>
        <v>#DIV/0!</v>
      </c>
      <c r="AE46" s="378" t="e">
        <f t="shared" si="21"/>
        <v>#DIV/0!</v>
      </c>
      <c r="AF46" s="378" t="e">
        <f t="shared" si="21"/>
        <v>#DIV/0!</v>
      </c>
      <c r="AG46" s="378" t="e">
        <f t="shared" si="21"/>
        <v>#DIV/0!</v>
      </c>
      <c r="AH46" s="378" t="e">
        <f t="shared" si="21"/>
        <v>#DIV/0!</v>
      </c>
      <c r="AI46" s="378" t="e">
        <f t="shared" si="21"/>
        <v>#DIV/0!</v>
      </c>
      <c r="AJ46" s="378" t="e">
        <f t="shared" si="21"/>
        <v>#DIV/0!</v>
      </c>
      <c r="AK46" s="378" t="e">
        <f t="shared" si="21"/>
        <v>#DIV/0!</v>
      </c>
      <c r="AL46" s="378" t="e">
        <f t="shared" si="21"/>
        <v>#DIV/0!</v>
      </c>
    </row>
    <row r="47" spans="1:38" s="175" customFormat="1">
      <c r="A47" s="395" t="s">
        <v>290</v>
      </c>
      <c r="B47" s="411">
        <v>6486.153203267022</v>
      </c>
      <c r="C47" s="411">
        <v>2989.887020968039</v>
      </c>
      <c r="D47" s="411">
        <v>3087.0875160115829</v>
      </c>
      <c r="E47" s="411">
        <v>4111.4524865219937</v>
      </c>
      <c r="F47" s="411">
        <v>1310.6025885016788</v>
      </c>
      <c r="G47" s="411">
        <v>2834.0572845029164</v>
      </c>
      <c r="H47" s="411">
        <v>2993.0520293119116</v>
      </c>
      <c r="I47" s="411">
        <v>-895.7220359252824</v>
      </c>
      <c r="J47" s="411">
        <v>-4294.6594178957894</v>
      </c>
      <c r="K47" s="411">
        <v>-4297.810793342971</v>
      </c>
      <c r="L47" s="411">
        <v>5565.8888594000164</v>
      </c>
      <c r="M47" s="411">
        <v>6172.051292038057</v>
      </c>
      <c r="N47" s="411">
        <v>708.41843573586084</v>
      </c>
      <c r="O47" s="411">
        <v>-1611.1426427356055</v>
      </c>
      <c r="P47" s="411">
        <v>281.92849848912738</v>
      </c>
      <c r="Q47" s="411">
        <v>1377.0227989194682</v>
      </c>
      <c r="R47" s="411">
        <v>3622.7750507244054</v>
      </c>
      <c r="S47" s="411">
        <v>9543.7648193328205</v>
      </c>
      <c r="T47" s="411">
        <v>7019.0356071677525</v>
      </c>
      <c r="U47" s="411">
        <v>2841.7800882015727</v>
      </c>
      <c r="V47" s="411">
        <v>-4751.8649548145768</v>
      </c>
      <c r="W47" s="411">
        <v>49427.072019653075</v>
      </c>
      <c r="X47" s="411">
        <v>43471.417966645997</v>
      </c>
      <c r="Y47" s="411">
        <v>14414.742801023414</v>
      </c>
      <c r="Z47" s="412">
        <f>-'Deuda a emitir'!E106</f>
        <v>0</v>
      </c>
      <c r="AA47" s="414">
        <f>-'Deuda a emitir'!F106</f>
        <v>0</v>
      </c>
      <c r="AB47" s="414">
        <f>-'Deuda a emitir'!G106</f>
        <v>0</v>
      </c>
      <c r="AC47" s="414">
        <f>-'Deuda a emitir'!H106</f>
        <v>0</v>
      </c>
      <c r="AD47" s="414">
        <f>-'Deuda a emitir'!I106</f>
        <v>0</v>
      </c>
      <c r="AE47" s="414">
        <f>-'Deuda a emitir'!J106</f>
        <v>0</v>
      </c>
      <c r="AF47" s="414">
        <f>-'Deuda a emitir'!K106</f>
        <v>0</v>
      </c>
      <c r="AG47" s="414">
        <f>-'Deuda a emitir'!L106</f>
        <v>0</v>
      </c>
      <c r="AH47" s="414">
        <f>-'Deuda a emitir'!M106</f>
        <v>0</v>
      </c>
      <c r="AI47" s="414">
        <f>-'Deuda a emitir'!N106</f>
        <v>0</v>
      </c>
      <c r="AJ47" s="414">
        <f>-'Deuda a emitir'!O106</f>
        <v>0</v>
      </c>
      <c r="AK47" s="414">
        <f>-'Deuda a emitir'!P106</f>
        <v>0</v>
      </c>
      <c r="AL47" s="414">
        <f>-'Deuda a emitir'!Q106</f>
        <v>0</v>
      </c>
    </row>
    <row r="48" spans="1:38" s="175" customFormat="1">
      <c r="A48" s="403" t="s">
        <v>168</v>
      </c>
      <c r="B48" s="406">
        <f>B45+B46+B47</f>
        <v>19659.11075923008</v>
      </c>
      <c r="C48" s="406">
        <f t="shared" ref="C48:AL48" si="22">C45+C46+C47</f>
        <v>17044.568305795794</v>
      </c>
      <c r="D48" s="406">
        <f t="shared" si="22"/>
        <v>22352.535669781464</v>
      </c>
      <c r="E48" s="406">
        <f t="shared" si="22"/>
        <v>23930.144991878929</v>
      </c>
      <c r="F48" s="406">
        <f t="shared" si="22"/>
        <v>25240.355946848438</v>
      </c>
      <c r="G48" s="406">
        <f t="shared" si="22"/>
        <v>25936.699581927449</v>
      </c>
      <c r="H48" s="406">
        <f t="shared" si="22"/>
        <v>30434.184559820853</v>
      </c>
      <c r="I48" s="406">
        <f t="shared" si="22"/>
        <v>32641.291642636024</v>
      </c>
      <c r="J48" s="406">
        <f t="shared" si="22"/>
        <v>31215.121035382595</v>
      </c>
      <c r="K48" s="406">
        <f t="shared" si="22"/>
        <v>28815.649485457754</v>
      </c>
      <c r="L48" s="406">
        <f t="shared" si="22"/>
        <v>35442.708500737295</v>
      </c>
      <c r="M48" s="406">
        <f t="shared" si="22"/>
        <v>36727.534038950551</v>
      </c>
      <c r="N48" s="406">
        <f t="shared" si="22"/>
        <v>32134.395382177798</v>
      </c>
      <c r="O48" s="406">
        <f t="shared" si="22"/>
        <v>31951.843222712429</v>
      </c>
      <c r="P48" s="406">
        <f t="shared" si="22"/>
        <v>36305.485713569768</v>
      </c>
      <c r="Q48" s="406">
        <f t="shared" si="22"/>
        <v>38832.467889463478</v>
      </c>
      <c r="R48" s="406">
        <f t="shared" si="22"/>
        <v>46902.883557850073</v>
      </c>
      <c r="S48" s="406">
        <f t="shared" si="22"/>
        <v>46663.551351764865</v>
      </c>
      <c r="T48" s="406">
        <f t="shared" si="22"/>
        <v>52841.543429672849</v>
      </c>
      <c r="U48" s="406">
        <f t="shared" si="22"/>
        <v>37251.081147877398</v>
      </c>
      <c r="V48" s="406">
        <f t="shared" si="22"/>
        <v>54835.405934477298</v>
      </c>
      <c r="W48" s="406">
        <f t="shared" si="22"/>
        <v>90908.985353262891</v>
      </c>
      <c r="X48" s="406">
        <f t="shared" si="22"/>
        <v>106026.17761096255</v>
      </c>
      <c r="Y48" s="406">
        <f t="shared" si="22"/>
        <v>83283.813510939392</v>
      </c>
      <c r="Z48" s="415">
        <f t="shared" si="22"/>
        <v>72355.725988952501</v>
      </c>
      <c r="AA48" s="416">
        <f t="shared" si="22"/>
        <v>57478.422989223429</v>
      </c>
      <c r="AB48" s="416" t="e">
        <f t="shared" si="22"/>
        <v>#DIV/0!</v>
      </c>
      <c r="AC48" s="416" t="e">
        <f t="shared" si="22"/>
        <v>#DIV/0!</v>
      </c>
      <c r="AD48" s="416" t="e">
        <f t="shared" si="22"/>
        <v>#DIV/0!</v>
      </c>
      <c r="AE48" s="416" t="e">
        <f t="shared" si="22"/>
        <v>#DIV/0!</v>
      </c>
      <c r="AF48" s="416" t="e">
        <f t="shared" si="22"/>
        <v>#DIV/0!</v>
      </c>
      <c r="AG48" s="416" t="e">
        <f t="shared" si="22"/>
        <v>#DIV/0!</v>
      </c>
      <c r="AH48" s="416" t="e">
        <f t="shared" si="22"/>
        <v>#DIV/0!</v>
      </c>
      <c r="AI48" s="416" t="e">
        <f t="shared" si="22"/>
        <v>#DIV/0!</v>
      </c>
      <c r="AJ48" s="416" t="e">
        <f t="shared" si="22"/>
        <v>#DIV/0!</v>
      </c>
      <c r="AK48" s="416" t="e">
        <f t="shared" si="22"/>
        <v>#DIV/0!</v>
      </c>
      <c r="AL48" s="416" t="e">
        <f t="shared" si="22"/>
        <v>#DIV/0!</v>
      </c>
    </row>
    <row r="49" spans="1:38">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row>
    <row r="50" spans="1:38" ht="21">
      <c r="A50" s="368" t="s">
        <v>255</v>
      </c>
      <c r="B50" s="417"/>
      <c r="C50" s="418"/>
      <c r="D50" s="418"/>
      <c r="E50" s="418"/>
      <c r="F50" s="418"/>
      <c r="G50" s="418"/>
      <c r="H50" s="418"/>
      <c r="I50" s="418"/>
      <c r="J50" s="418"/>
      <c r="K50" s="418"/>
      <c r="L50" s="418"/>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row>
    <row r="51" spans="1:38" ht="18">
      <c r="A51" s="372" t="s">
        <v>291</v>
      </c>
      <c r="C51" s="55"/>
      <c r="D51" s="55"/>
      <c r="E51" s="55"/>
      <c r="F51" s="55"/>
      <c r="G51" s="55"/>
      <c r="H51" s="55"/>
      <c r="I51" s="55"/>
      <c r="J51" s="55"/>
      <c r="K51" s="55"/>
      <c r="L51" s="55"/>
      <c r="M51" s="55"/>
      <c r="V51" s="55"/>
      <c r="W51" s="55"/>
      <c r="X51" s="55"/>
      <c r="Y51" s="55"/>
      <c r="Z51" s="419"/>
      <c r="AA51" s="419"/>
      <c r="AB51" s="55"/>
    </row>
    <row r="52" spans="1:38" s="175" customFormat="1">
      <c r="A52" s="420" t="s">
        <v>20</v>
      </c>
      <c r="B52" s="421">
        <v>36525</v>
      </c>
      <c r="C52" s="421">
        <v>36891</v>
      </c>
      <c r="D52" s="421">
        <v>37256</v>
      </c>
      <c r="E52" s="421">
        <v>37621</v>
      </c>
      <c r="F52" s="421">
        <v>37986</v>
      </c>
      <c r="G52" s="421">
        <v>38352</v>
      </c>
      <c r="H52" s="421">
        <v>38717</v>
      </c>
      <c r="I52" s="421">
        <v>39082</v>
      </c>
      <c r="J52" s="421">
        <v>39447</v>
      </c>
      <c r="K52" s="421">
        <v>39813</v>
      </c>
      <c r="L52" s="421">
        <v>40178</v>
      </c>
      <c r="M52" s="421">
        <v>40543</v>
      </c>
      <c r="N52" s="421">
        <v>40908</v>
      </c>
      <c r="O52" s="421">
        <v>41274</v>
      </c>
      <c r="P52" s="421">
        <v>41639</v>
      </c>
      <c r="Q52" s="421">
        <v>42004</v>
      </c>
      <c r="R52" s="421">
        <v>42369</v>
      </c>
      <c r="S52" s="421">
        <v>42735</v>
      </c>
      <c r="T52" s="421">
        <v>43100</v>
      </c>
      <c r="U52" s="421">
        <v>43465</v>
      </c>
      <c r="V52" s="421">
        <v>43830</v>
      </c>
      <c r="W52" s="421">
        <v>44196</v>
      </c>
      <c r="X52" s="421">
        <v>44561</v>
      </c>
      <c r="Y52" s="421">
        <v>44926</v>
      </c>
      <c r="Z52" s="422">
        <v>45291</v>
      </c>
      <c r="AA52" s="421">
        <v>45657</v>
      </c>
      <c r="AB52" s="421">
        <v>46022</v>
      </c>
      <c r="AC52" s="421">
        <v>46387</v>
      </c>
      <c r="AD52" s="421">
        <v>46752</v>
      </c>
      <c r="AE52" s="421">
        <v>47118</v>
      </c>
      <c r="AF52" s="421">
        <v>47483</v>
      </c>
      <c r="AG52" s="421">
        <v>47848</v>
      </c>
      <c r="AH52" s="421">
        <v>48213</v>
      </c>
      <c r="AI52" s="421">
        <v>48579</v>
      </c>
      <c r="AJ52" s="421">
        <v>48944</v>
      </c>
      <c r="AK52" s="421">
        <v>49309</v>
      </c>
      <c r="AL52" s="421">
        <v>49310</v>
      </c>
    </row>
    <row r="53" spans="1:38" s="175" customFormat="1">
      <c r="A53" s="424" t="s">
        <v>257</v>
      </c>
      <c r="B53" s="425">
        <f>B6/'Deuda GNC'!B$110*100</f>
        <v>34.596667204996294</v>
      </c>
      <c r="C53" s="425">
        <f>C6/'Deuda GNC'!C$110*100</f>
        <v>37.184502896709567</v>
      </c>
      <c r="D53" s="425">
        <f>D6/'Deuda GNC'!D$110*100</f>
        <v>41.391682239963018</v>
      </c>
      <c r="E53" s="425">
        <f>E6/'Deuda GNC'!E$110*100</f>
        <v>47.204899410649674</v>
      </c>
      <c r="F53" s="425">
        <f>F6/'Deuda GNC'!F$110*100</f>
        <v>46.291026473957494</v>
      </c>
      <c r="G53" s="425">
        <f>G6/'Deuda GNC'!G$110*100</f>
        <v>43.233407576248752</v>
      </c>
      <c r="H53" s="425">
        <f>H6/'Deuda GNC'!H$110*100</f>
        <v>42.665575359016117</v>
      </c>
      <c r="I53" s="425">
        <f>I6/'Deuda GNC'!I$110*100</f>
        <v>40.27494881729308</v>
      </c>
      <c r="J53" s="425">
        <f>J6/'Deuda GNC'!J$110*100</f>
        <v>36.534443452495445</v>
      </c>
      <c r="K53" s="425">
        <f>K6/'Deuda GNC'!K$110*100</f>
        <v>36.058431391747007</v>
      </c>
      <c r="L53" s="425">
        <f>L6/'Deuda GNC'!L$110*100</f>
        <v>37.904102466773352</v>
      </c>
      <c r="M53" s="425">
        <f>M6/'Deuda GNC'!M$110*100</f>
        <v>38.437760277734426</v>
      </c>
      <c r="N53" s="425">
        <f>N6/'Deuda GNC'!N$110*100</f>
        <v>36.285007561086125</v>
      </c>
      <c r="O53" s="425">
        <f>O6/'Deuda GNC'!O$110*100</f>
        <v>34.198177423862738</v>
      </c>
      <c r="P53" s="425">
        <f>P6/'Deuda GNC'!P$110*100</f>
        <v>36.645538733435863</v>
      </c>
      <c r="Q53" s="425">
        <f>Q6/'Deuda GNC'!Q$110*100</f>
        <v>39.899222986321661</v>
      </c>
      <c r="R53" s="425">
        <f>R6/'Deuda GNC'!R$110*100</f>
        <v>44.612536988629323</v>
      </c>
      <c r="S53" s="425">
        <f>S6/'Deuda GNC'!S$110*100</f>
        <v>45.627006873621077</v>
      </c>
      <c r="T53" s="425">
        <f>T6/'Deuda GNC'!T$110*100</f>
        <v>46.379638750023261</v>
      </c>
      <c r="U53" s="425">
        <f>U6/'Deuda GNC'!U$110*100</f>
        <v>49.329171793973863</v>
      </c>
      <c r="V53" s="425">
        <f>V6/'Deuda GNC'!V$110*100</f>
        <v>50.344255691714103</v>
      </c>
      <c r="W53" s="425">
        <f>W6/'Deuda GNC'!W$110*100</f>
        <v>65.082231736177391</v>
      </c>
      <c r="X53" s="425">
        <f>X6/'Deuda GNC'!X$110*100</f>
        <v>62.976712410788259</v>
      </c>
      <c r="Y53" s="425">
        <f>Y6/'Deuda GNC'!Y$110*100</f>
        <v>61.139820003501065</v>
      </c>
      <c r="Z53" s="426">
        <f>Z6/'Deuda GNC'!Z$110*100</f>
        <v>56.718977359962643</v>
      </c>
      <c r="AA53" s="427" t="e">
        <f>AA6/'Deuda GNC'!AA$110*100</f>
        <v>#DIV/0!</v>
      </c>
      <c r="AB53" s="427" t="e">
        <f>AB6/'Deuda GNC'!AB$110*100</f>
        <v>#DIV/0!</v>
      </c>
      <c r="AC53" s="427" t="e">
        <f>AC6/'Deuda GNC'!AC$110*100</f>
        <v>#DIV/0!</v>
      </c>
      <c r="AD53" s="427" t="e">
        <f>AD6/'Deuda GNC'!AD$110*100</f>
        <v>#DIV/0!</v>
      </c>
      <c r="AE53" s="427" t="e">
        <f>AE6/'Deuda GNC'!AE$110*100</f>
        <v>#DIV/0!</v>
      </c>
      <c r="AF53" s="427" t="e">
        <f>AF6/'Deuda GNC'!AF$110*100</f>
        <v>#DIV/0!</v>
      </c>
      <c r="AG53" s="427" t="e">
        <f>AG6/'Deuda GNC'!AG$110*100</f>
        <v>#DIV/0!</v>
      </c>
      <c r="AH53" s="427" t="e">
        <f>AH6/'Deuda GNC'!AH$110*100</f>
        <v>#DIV/0!</v>
      </c>
      <c r="AI53" s="427" t="e">
        <f>AI6/'Deuda GNC'!AI$110*100</f>
        <v>#DIV/0!</v>
      </c>
      <c r="AJ53" s="427" t="e">
        <f>AJ6/'Deuda GNC'!AJ$110*100</f>
        <v>#DIV/0!</v>
      </c>
      <c r="AK53" s="427" t="e">
        <f>AK6/'Deuda GNC'!AK$110*100</f>
        <v>#DIV/0!</v>
      </c>
      <c r="AL53" s="427" t="e">
        <f>AL6/'Deuda GNC'!AL$110*100</f>
        <v>#DIV/0!</v>
      </c>
    </row>
    <row r="54" spans="1:38">
      <c r="A54" s="428" t="s">
        <v>258</v>
      </c>
      <c r="B54" s="429">
        <f>B7/'Deuda GNC'!B$110*100</f>
        <v>31.558904126573275</v>
      </c>
      <c r="C54" s="429">
        <f>C7/'Deuda GNC'!C$110*100</f>
        <v>35.159425903739105</v>
      </c>
      <c r="D54" s="429">
        <f>D7/'Deuda GNC'!D$110*100</f>
        <v>39.931785054940924</v>
      </c>
      <c r="E54" s="429">
        <f>E7/'Deuda GNC'!E$110*100</f>
        <v>45.477361085827525</v>
      </c>
      <c r="F54" s="429">
        <f>F7/'Deuda GNC'!F$110*100</f>
        <v>45.099356268989048</v>
      </c>
      <c r="G54" s="429">
        <f>G7/'Deuda GNC'!G$110*100</f>
        <v>41.61702659207053</v>
      </c>
      <c r="H54" s="429">
        <f>H7/'Deuda GNC'!H$110*100</f>
        <v>41.380984654688966</v>
      </c>
      <c r="I54" s="429">
        <f>I7/'Deuda GNC'!I$110*100</f>
        <v>39.054804628796759</v>
      </c>
      <c r="J54" s="429">
        <f>J7/'Deuda GNC'!J$110*100</f>
        <v>35.848669562813214</v>
      </c>
      <c r="K54" s="429">
        <f>K7/'Deuda GNC'!K$110*100</f>
        <v>35.363114867709307</v>
      </c>
      <c r="L54" s="429">
        <f>L7/'Deuda GNC'!L$110*100</f>
        <v>36.950513650855399</v>
      </c>
      <c r="M54" s="429">
        <f>M7/'Deuda GNC'!M$110*100</f>
        <v>37.282705216803052</v>
      </c>
      <c r="N54" s="429">
        <f>N7/'Deuda GNC'!N$110*100</f>
        <v>34.682651219327084</v>
      </c>
      <c r="O54" s="429">
        <f>O7/'Deuda GNC'!O$110*100</f>
        <v>32.451183782500628</v>
      </c>
      <c r="P54" s="429">
        <f>P7/'Deuda GNC'!P$110*100</f>
        <v>34.919726978383764</v>
      </c>
      <c r="Q54" s="429">
        <f>Q7/'Deuda GNC'!Q$110*100</f>
        <v>38.555531483904893</v>
      </c>
      <c r="R54" s="429">
        <f>R7/'Deuda GNC'!R$110*100</f>
        <v>43.627303264280364</v>
      </c>
      <c r="S54" s="429">
        <f>S7/'Deuda GNC'!S$110*100</f>
        <v>44.980760031718759</v>
      </c>
      <c r="T54" s="429">
        <f>T7/'Deuda GNC'!T$110*100</f>
        <v>45.966359791259919</v>
      </c>
      <c r="U54" s="429">
        <f>U7/'Deuda GNC'!U$110*100</f>
        <v>49.244471275480315</v>
      </c>
      <c r="V54" s="429">
        <f>V7/'Deuda GNC'!V$110*100</f>
        <v>48.639504647765868</v>
      </c>
      <c r="W54" s="429">
        <f>W7/'Deuda GNC'!W$110*100</f>
        <v>63.504538607970652</v>
      </c>
      <c r="X54" s="429">
        <f>X7/'Deuda GNC'!X$110*100</f>
        <v>61.932471058604087</v>
      </c>
      <c r="Y54" s="429">
        <f>Y7/'Deuda GNC'!Y$110*100</f>
        <v>60.848415292301453</v>
      </c>
      <c r="Z54" s="430">
        <f>Z7/'Deuda GNC'!Z$110*100</f>
        <v>56.500978853916884</v>
      </c>
      <c r="AA54" s="431" t="e">
        <f>AA7/'Deuda GNC'!AA$110*100</f>
        <v>#DIV/0!</v>
      </c>
      <c r="AB54" s="431" t="e">
        <f>AB7/'Deuda GNC'!AB$110*100</f>
        <v>#DIV/0!</v>
      </c>
      <c r="AC54" s="431" t="e">
        <f>AC7/'Deuda GNC'!AC$110*100</f>
        <v>#DIV/0!</v>
      </c>
      <c r="AD54" s="431" t="e">
        <f>AD7/'Deuda GNC'!AD$110*100</f>
        <v>#DIV/0!</v>
      </c>
      <c r="AE54" s="431" t="e">
        <f>AE7/'Deuda GNC'!AE$110*100</f>
        <v>#DIV/0!</v>
      </c>
      <c r="AF54" s="431" t="e">
        <f>AF7/'Deuda GNC'!AF$110*100</f>
        <v>#DIV/0!</v>
      </c>
      <c r="AG54" s="431" t="e">
        <f>AG7/'Deuda GNC'!AG$110*100</f>
        <v>#DIV/0!</v>
      </c>
      <c r="AH54" s="431" t="e">
        <f>AH7/'Deuda GNC'!AH$110*100</f>
        <v>#DIV/0!</v>
      </c>
      <c r="AI54" s="431" t="e">
        <f>AI7/'Deuda GNC'!AI$110*100</f>
        <v>#DIV/0!</v>
      </c>
      <c r="AJ54" s="431" t="e">
        <f>AJ7/'Deuda GNC'!AJ$110*100</f>
        <v>#DIV/0!</v>
      </c>
      <c r="AK54" s="431" t="e">
        <f>AK7/'Deuda GNC'!AK$110*100</f>
        <v>#DIV/0!</v>
      </c>
      <c r="AL54" s="431" t="e">
        <f>AL7/'Deuda GNC'!AL$110*100</f>
        <v>#DIV/0!</v>
      </c>
    </row>
    <row r="55" spans="1:38">
      <c r="A55" s="432" t="s">
        <v>259</v>
      </c>
      <c r="B55" s="433">
        <f>B8/'Deuda GNC'!B$110*100</f>
        <v>19.657609630702591</v>
      </c>
      <c r="C55" s="433">
        <f>C8/'Deuda GNC'!C$110*100</f>
        <v>21.277495288830668</v>
      </c>
      <c r="D55" s="433">
        <f>D8/'Deuda GNC'!D$110*100</f>
        <v>22.336859449335233</v>
      </c>
      <c r="E55" s="433">
        <f>E8/'Deuda GNC'!E$110*100</f>
        <v>25.488764171187778</v>
      </c>
      <c r="F55" s="433">
        <f>F8/'Deuda GNC'!F$110*100</f>
        <v>25.104328593629848</v>
      </c>
      <c r="G55" s="433">
        <f>G8/'Deuda GNC'!G$110*100</f>
        <v>25.596244155425975</v>
      </c>
      <c r="H55" s="433">
        <f>H8/'Deuda GNC'!H$110*100</f>
        <v>28.573386435557683</v>
      </c>
      <c r="I55" s="433">
        <f>I8/'Deuda GNC'!I$110*100</f>
        <v>26.487619325564516</v>
      </c>
      <c r="J55" s="433">
        <f>J8/'Deuda GNC'!J$110*100</f>
        <v>25.413758486438194</v>
      </c>
      <c r="K55" s="433">
        <f>K8/'Deuda GNC'!K$110*100</f>
        <v>24.602634390130341</v>
      </c>
      <c r="L55" s="433">
        <f>L8/'Deuda GNC'!L$110*100</f>
        <v>26.002683710573432</v>
      </c>
      <c r="M55" s="433">
        <f>M8/'Deuda GNC'!M$110*100</f>
        <v>27.537114226768537</v>
      </c>
      <c r="N55" s="433">
        <f>N8/'Deuda GNC'!N$110*100</f>
        <v>25.949318622075523</v>
      </c>
      <c r="O55" s="433">
        <f>O8/'Deuda GNC'!O$110*100</f>
        <v>25.268162493900675</v>
      </c>
      <c r="P55" s="433">
        <f>P8/'Deuda GNC'!P$110*100</f>
        <v>27.022262265038993</v>
      </c>
      <c r="Q55" s="433">
        <f>Q8/'Deuda GNC'!Q$110*100</f>
        <v>28.132690150156829</v>
      </c>
      <c r="R55" s="433">
        <f>R8/'Deuda GNC'!R$110*100</f>
        <v>28.508181084549399</v>
      </c>
      <c r="S55" s="433">
        <f>S8/'Deuda GNC'!S$110*100</f>
        <v>30.105754125899292</v>
      </c>
      <c r="T55" s="433">
        <f>T8/'Deuda GNC'!T$110*100</f>
        <v>30.892771217546304</v>
      </c>
      <c r="U55" s="433">
        <f>U8/'Deuda GNC'!U$110*100</f>
        <v>32.717323012491107</v>
      </c>
      <c r="V55" s="433">
        <f>V8/'Deuda GNC'!V$110*100</f>
        <v>34.354000937634289</v>
      </c>
      <c r="W55" s="433">
        <f>W8/'Deuda GNC'!W$110*100</f>
        <v>42.055645750691681</v>
      </c>
      <c r="X55" s="433">
        <f>X8/'Deuda GNC'!X$110*100</f>
        <v>38.457993569769222</v>
      </c>
      <c r="Y55" s="433">
        <f>Y8/'Deuda GNC'!Y$110*100</f>
        <v>36.150783005191421</v>
      </c>
      <c r="Z55" s="434">
        <f>Z8/'Deuda GNC'!Z$110*100</f>
        <v>37.213996647190505</v>
      </c>
      <c r="AA55" s="55">
        <f>AA8/'Deuda GNC'!AA$110*100</f>
        <v>32.369208215969167</v>
      </c>
      <c r="AB55" s="55" t="e">
        <f>AB8/'Deuda GNC'!AB$110*100</f>
        <v>#DIV/0!</v>
      </c>
      <c r="AC55" s="55" t="e">
        <f>AC8/'Deuda GNC'!AC$110*100</f>
        <v>#DIV/0!</v>
      </c>
      <c r="AD55" s="55" t="e">
        <f>AD8/'Deuda GNC'!AD$110*100</f>
        <v>#DIV/0!</v>
      </c>
      <c r="AE55" s="55" t="e">
        <f>AE8/'Deuda GNC'!AE$110*100</f>
        <v>#DIV/0!</v>
      </c>
      <c r="AF55" s="55" t="e">
        <f>AF8/'Deuda GNC'!AF$110*100</f>
        <v>#DIV/0!</v>
      </c>
      <c r="AG55" s="55" t="e">
        <f>AG8/'Deuda GNC'!AG$110*100</f>
        <v>#DIV/0!</v>
      </c>
      <c r="AH55" s="55" t="e">
        <f>AH8/'Deuda GNC'!AH$110*100</f>
        <v>#DIV/0!</v>
      </c>
      <c r="AI55" s="55" t="e">
        <f>AI8/'Deuda GNC'!AI$110*100</f>
        <v>#DIV/0!</v>
      </c>
      <c r="AJ55" s="55" t="e">
        <f>AJ8/'Deuda GNC'!AJ$110*100</f>
        <v>#DIV/0!</v>
      </c>
      <c r="AK55" s="55" t="e">
        <f>AK8/'Deuda GNC'!AK$110*100</f>
        <v>#DIV/0!</v>
      </c>
      <c r="AL55" s="55" t="e">
        <f>AL8/'Deuda GNC'!AL$110*100</f>
        <v>#DIV/0!</v>
      </c>
    </row>
    <row r="56" spans="1:38" s="133" customFormat="1">
      <c r="A56" s="435" t="s">
        <v>260</v>
      </c>
      <c r="B56" s="436">
        <f>B9/'Deuda GNC'!B$110*100</f>
        <v>16.619846552279576</v>
      </c>
      <c r="C56" s="436">
        <f>C9/'Deuda GNC'!C$110*100</f>
        <v>19.252418295860206</v>
      </c>
      <c r="D56" s="436">
        <f>D9/'Deuda GNC'!D$110*100</f>
        <v>20.876962264313146</v>
      </c>
      <c r="E56" s="436">
        <f>E9/'Deuda GNC'!E$110*100</f>
        <v>23.761225846365637</v>
      </c>
      <c r="F56" s="436">
        <f>F9/'Deuda GNC'!F$110*100</f>
        <v>23.912658388661409</v>
      </c>
      <c r="G56" s="436">
        <f>G9/'Deuda GNC'!G$110*100</f>
        <v>23.979863171247747</v>
      </c>
      <c r="H56" s="436">
        <f>H9/'Deuda GNC'!H$110*100</f>
        <v>27.288795731230525</v>
      </c>
      <c r="I56" s="436">
        <f>I9/'Deuda GNC'!I$110*100</f>
        <v>25.267475137068189</v>
      </c>
      <c r="J56" s="436">
        <f>J9/'Deuda GNC'!J$110*100</f>
        <v>24.727984596755963</v>
      </c>
      <c r="K56" s="436">
        <f>K9/'Deuda GNC'!K$110*100</f>
        <v>23.90731786609264</v>
      </c>
      <c r="L56" s="436">
        <f>L9/'Deuda GNC'!L$110*100</f>
        <v>25.049094894655475</v>
      </c>
      <c r="M56" s="436">
        <f>M9/'Deuda GNC'!M$110*100</f>
        <v>26.382059165837173</v>
      </c>
      <c r="N56" s="436">
        <f>N9/'Deuda GNC'!N$110*100</f>
        <v>24.346962280316475</v>
      </c>
      <c r="O56" s="436">
        <f>O9/'Deuda GNC'!O$110*100</f>
        <v>23.521168852538558</v>
      </c>
      <c r="P56" s="436">
        <f>P9/'Deuda GNC'!P$110*100</f>
        <v>25.296450509986894</v>
      </c>
      <c r="Q56" s="436">
        <f>Q9/'Deuda GNC'!Q$110*100</f>
        <v>26.788998647740076</v>
      </c>
      <c r="R56" s="436">
        <f>R9/'Deuda GNC'!R$110*100</f>
        <v>27.522947360200444</v>
      </c>
      <c r="S56" s="436">
        <f>S9/'Deuda GNC'!S$110*100</f>
        <v>29.45950728399697</v>
      </c>
      <c r="T56" s="436">
        <f>T9/'Deuda GNC'!T$110*100</f>
        <v>30.479492258782965</v>
      </c>
      <c r="U56" s="436">
        <f>U9/'Deuda GNC'!U$110*100</f>
        <v>32.632622493997566</v>
      </c>
      <c r="V56" s="436">
        <f>V9/'Deuda GNC'!V$110*100</f>
        <v>32.649249893686061</v>
      </c>
      <c r="W56" s="436">
        <f>W9/'Deuda GNC'!W$110*100</f>
        <v>40.477952622484956</v>
      </c>
      <c r="X56" s="436">
        <f>X9/'Deuda GNC'!X$110*100</f>
        <v>37.413752217585042</v>
      </c>
      <c r="Y56" s="436">
        <f>Y9/'Deuda GNC'!Y$110*100</f>
        <v>35.859378293991803</v>
      </c>
      <c r="Z56" s="437">
        <f>Z9/'Deuda GNC'!Z$110*100</f>
        <v>36.995998141144746</v>
      </c>
      <c r="AA56" s="438">
        <f>AA9/'Deuda GNC'!AA$110*100</f>
        <v>32.369208215969167</v>
      </c>
      <c r="AB56" s="438" t="e">
        <f>AB9/'Deuda GNC'!AB$110*100</f>
        <v>#DIV/0!</v>
      </c>
      <c r="AC56" s="438" t="e">
        <f>AC9/'Deuda GNC'!AC$110*100</f>
        <v>#DIV/0!</v>
      </c>
      <c r="AD56" s="438" t="e">
        <f>AD9/'Deuda GNC'!AD$110*100</f>
        <v>#DIV/0!</v>
      </c>
      <c r="AE56" s="438" t="e">
        <f>AE9/'Deuda GNC'!AE$110*100</f>
        <v>#DIV/0!</v>
      </c>
      <c r="AF56" s="438" t="e">
        <f>AF9/'Deuda GNC'!AF$110*100</f>
        <v>#DIV/0!</v>
      </c>
      <c r="AG56" s="438" t="e">
        <f>AG9/'Deuda GNC'!AG$110*100</f>
        <v>#DIV/0!</v>
      </c>
      <c r="AH56" s="438" t="e">
        <f>AH9/'Deuda GNC'!AH$110*100</f>
        <v>#DIV/0!</v>
      </c>
      <c r="AI56" s="438" t="e">
        <f>AI9/'Deuda GNC'!AI$110*100</f>
        <v>#DIV/0!</v>
      </c>
      <c r="AJ56" s="438" t="e">
        <f>AJ9/'Deuda GNC'!AJ$110*100</f>
        <v>#DIV/0!</v>
      </c>
      <c r="AK56" s="438" t="e">
        <f>AK9/'Deuda GNC'!AK$110*100</f>
        <v>#DIV/0!</v>
      </c>
      <c r="AL56" s="438" t="e">
        <f>AL9/'Deuda GNC'!AL$110*100</f>
        <v>#DIV/0!</v>
      </c>
    </row>
    <row r="57" spans="1:38">
      <c r="A57" s="432" t="s">
        <v>261</v>
      </c>
      <c r="B57" s="433">
        <f>B10/'Deuda GNC'!B$110*100</f>
        <v>14.939057574293699</v>
      </c>
      <c r="C57" s="433">
        <f>C10/'Deuda GNC'!C$110*100</f>
        <v>15.907007607878901</v>
      </c>
      <c r="D57" s="433">
        <f>D10/'Deuda GNC'!D$110*100</f>
        <v>19.054822790627782</v>
      </c>
      <c r="E57" s="433">
        <f>E10/'Deuda GNC'!E$110*100</f>
        <v>21.716135239461895</v>
      </c>
      <c r="F57" s="433">
        <f>F10/'Deuda GNC'!F$110*100</f>
        <v>21.186697880327646</v>
      </c>
      <c r="G57" s="433">
        <f>G10/'Deuda GNC'!G$110*100</f>
        <v>17.63716342082278</v>
      </c>
      <c r="H57" s="433">
        <f>H10/'Deuda GNC'!H$110*100</f>
        <v>14.092188923458432</v>
      </c>
      <c r="I57" s="433">
        <f>I10/'Deuda GNC'!I$110*100</f>
        <v>13.787329491728565</v>
      </c>
      <c r="J57" s="433">
        <f>J10/'Deuda GNC'!J$110*100</f>
        <v>11.120684966057254</v>
      </c>
      <c r="K57" s="433">
        <f>K10/'Deuda GNC'!K$110*100</f>
        <v>11.455797001616668</v>
      </c>
      <c r="L57" s="433">
        <f>L10/'Deuda GNC'!L$110*100</f>
        <v>11.901418756199922</v>
      </c>
      <c r="M57" s="433">
        <f>M10/'Deuda GNC'!M$110*100</f>
        <v>10.900646050965882</v>
      </c>
      <c r="N57" s="433">
        <f>N10/'Deuda GNC'!N$110*100</f>
        <v>10.335688939010602</v>
      </c>
      <c r="O57" s="433">
        <f>O10/'Deuda GNC'!O$110*100</f>
        <v>8.9300149299620664</v>
      </c>
      <c r="P57" s="433">
        <f>P10/'Deuda GNC'!P$110*100</f>
        <v>9.6232764683968668</v>
      </c>
      <c r="Q57" s="433">
        <f>Q10/'Deuda GNC'!Q$110*100</f>
        <v>11.766532836164822</v>
      </c>
      <c r="R57" s="433">
        <f>R10/'Deuda GNC'!R$110*100</f>
        <v>16.104355904079924</v>
      </c>
      <c r="S57" s="433">
        <f>S10/'Deuda GNC'!S$110*100</f>
        <v>15.521252747721784</v>
      </c>
      <c r="T57" s="433">
        <f>T10/'Deuda GNC'!T$110*100</f>
        <v>15.486867532476955</v>
      </c>
      <c r="U57" s="433">
        <f>U10/'Deuda GNC'!U$110*100</f>
        <v>16.611848781482756</v>
      </c>
      <c r="V57" s="433">
        <f>V10/'Deuda GNC'!V$110*100</f>
        <v>15.990254754079809</v>
      </c>
      <c r="W57" s="433">
        <f>W10/'Deuda GNC'!W$110*100</f>
        <v>23.026585985485692</v>
      </c>
      <c r="X57" s="433">
        <f>X10/'Deuda GNC'!X$110*100</f>
        <v>24.518718841019041</v>
      </c>
      <c r="Y57" s="433">
        <f>Y10/'Deuda GNC'!Y$110*100</f>
        <v>24.989036998309643</v>
      </c>
      <c r="Z57" s="434">
        <f>Z10/'Deuda GNC'!Z$110*100</f>
        <v>19.504980712772134</v>
      </c>
      <c r="AA57" s="55" t="e">
        <f>AA10/'Deuda GNC'!AA$110*100</f>
        <v>#DIV/0!</v>
      </c>
      <c r="AB57" s="55" t="e">
        <f>AB10/'Deuda GNC'!AB$110*100</f>
        <v>#DIV/0!</v>
      </c>
      <c r="AC57" s="55" t="e">
        <f>AC10/'Deuda GNC'!AC$110*100</f>
        <v>#DIV/0!</v>
      </c>
      <c r="AD57" s="55" t="e">
        <f>AD10/'Deuda GNC'!AD$110*100</f>
        <v>#DIV/0!</v>
      </c>
      <c r="AE57" s="55" t="e">
        <f>AE10/'Deuda GNC'!AE$110*100</f>
        <v>#DIV/0!</v>
      </c>
      <c r="AF57" s="55" t="e">
        <f>AF10/'Deuda GNC'!AF$110*100</f>
        <v>#DIV/0!</v>
      </c>
      <c r="AG57" s="55" t="e">
        <f>AG10/'Deuda GNC'!AG$110*100</f>
        <v>#DIV/0!</v>
      </c>
      <c r="AH57" s="55" t="e">
        <f>AH10/'Deuda GNC'!AH$110*100</f>
        <v>#DIV/0!</v>
      </c>
      <c r="AI57" s="55" t="e">
        <f>AI10/'Deuda GNC'!AI$110*100</f>
        <v>#DIV/0!</v>
      </c>
      <c r="AJ57" s="55" t="e">
        <f>AJ10/'Deuda GNC'!AJ$110*100</f>
        <v>#DIV/0!</v>
      </c>
      <c r="AK57" s="55" t="e">
        <f>AK10/'Deuda GNC'!AK$110*100</f>
        <v>#DIV/0!</v>
      </c>
      <c r="AL57" s="55" t="e">
        <f>AL10/'Deuda GNC'!AL$110*100</f>
        <v>#DIV/0!</v>
      </c>
    </row>
    <row r="58" spans="1:38" s="175" customFormat="1">
      <c r="A58" s="439" t="s">
        <v>262</v>
      </c>
      <c r="B58" s="440">
        <f>B11/'Deuda GNC'!B$110*100</f>
        <v>31.488234119337761</v>
      </c>
      <c r="C58" s="440">
        <f>C11/'Deuda GNC'!C$110*100</f>
        <v>34.464624153703824</v>
      </c>
      <c r="D58" s="440">
        <f>D11/'Deuda GNC'!D$110*100</f>
        <v>39.247919017955965</v>
      </c>
      <c r="E58" s="440">
        <f>E11/'Deuda GNC'!E$110*100</f>
        <v>44.200250064079114</v>
      </c>
      <c r="F58" s="440">
        <f>F11/'Deuda GNC'!F$110*100</f>
        <v>43.916932325555599</v>
      </c>
      <c r="G58" s="440">
        <f>G11/'Deuda GNC'!G$110*100</f>
        <v>40.324361927855193</v>
      </c>
      <c r="H58" s="440">
        <f>H11/'Deuda GNC'!H$110*100</f>
        <v>40.265757318747809</v>
      </c>
      <c r="I58" s="440">
        <f>I11/'Deuda GNC'!I$110*100</f>
        <v>38.524647712202594</v>
      </c>
      <c r="J58" s="440">
        <f>J11/'Deuda GNC'!J$110*100</f>
        <v>34.2386571009107</v>
      </c>
      <c r="K58" s="440">
        <f>K11/'Deuda GNC'!K$110*100</f>
        <v>34.268261070336706</v>
      </c>
      <c r="L58" s="440">
        <f>L11/'Deuda GNC'!L$110*100</f>
        <v>35.732962090721891</v>
      </c>
      <c r="M58" s="440">
        <f>M11/'Deuda GNC'!M$110*100</f>
        <v>35.81003151491857</v>
      </c>
      <c r="N58" s="440">
        <f>N11/'Deuda GNC'!N$110*100</f>
        <v>34.335201350758354</v>
      </c>
      <c r="O58" s="440">
        <f>O11/'Deuda GNC'!O$110*100</f>
        <v>31.885378037439537</v>
      </c>
      <c r="P58" s="440">
        <f>P11/'Deuda GNC'!P$110*100</f>
        <v>34.042572754301041</v>
      </c>
      <c r="Q58" s="440">
        <f>Q11/'Deuda GNC'!Q$110*100</f>
        <v>37.222286445578931</v>
      </c>
      <c r="R58" s="440">
        <f>R11/'Deuda GNC'!R$110*100</f>
        <v>40.939031879728809</v>
      </c>
      <c r="S58" s="440">
        <f>S11/'Deuda GNC'!S$110*100</f>
        <v>42.221228220250033</v>
      </c>
      <c r="T58" s="440">
        <f>T11/'Deuda GNC'!T$110*100</f>
        <v>43.230520996096409</v>
      </c>
      <c r="U58" s="440">
        <f>U11/'Deuda GNC'!U$110*100</f>
        <v>46.352133097608075</v>
      </c>
      <c r="V58" s="440">
        <f>V11/'Deuda GNC'!V$110*100</f>
        <v>45.49512549971471</v>
      </c>
      <c r="W58" s="440">
        <f>W11/'Deuda GNC'!W$110*100</f>
        <v>59.342533391329511</v>
      </c>
      <c r="X58" s="440">
        <f>X11/'Deuda GNC'!X$110*100</f>
        <v>58.856044405153682</v>
      </c>
      <c r="Y58" s="440">
        <f>Y11/'Deuda GNC'!Y$110*100</f>
        <v>56.597854062373528</v>
      </c>
      <c r="Z58" s="441">
        <f>Z11/'Deuda GNC'!Z$110*100</f>
        <v>51.874188928741304</v>
      </c>
      <c r="AA58" s="442" t="e">
        <f>AA11/'Deuda GNC'!AA$110*100</f>
        <v>#DIV/0!</v>
      </c>
      <c r="AB58" s="442" t="e">
        <f>AB11/'Deuda GNC'!AB$110*100</f>
        <v>#DIV/0!</v>
      </c>
      <c r="AC58" s="442" t="e">
        <f>AC11/'Deuda GNC'!AC$110*100</f>
        <v>#DIV/0!</v>
      </c>
      <c r="AD58" s="442" t="e">
        <f>AD11/'Deuda GNC'!AD$110*100</f>
        <v>#DIV/0!</v>
      </c>
      <c r="AE58" s="442" t="e">
        <f>AE11/'Deuda GNC'!AE$110*100</f>
        <v>#DIV/0!</v>
      </c>
      <c r="AF58" s="442" t="e">
        <f>AF11/'Deuda GNC'!AF$110*100</f>
        <v>#DIV/0!</v>
      </c>
      <c r="AG58" s="442" t="e">
        <f>AG11/'Deuda GNC'!AG$110*100</f>
        <v>#DIV/0!</v>
      </c>
      <c r="AH58" s="442" t="e">
        <f>AH11/'Deuda GNC'!AH$110*100</f>
        <v>#DIV/0!</v>
      </c>
      <c r="AI58" s="442" t="e">
        <f>AI11/'Deuda GNC'!AI$110*100</f>
        <v>#DIV/0!</v>
      </c>
      <c r="AJ58" s="442" t="e">
        <f>AJ11/'Deuda GNC'!AJ$110*100</f>
        <v>#DIV/0!</v>
      </c>
      <c r="AK58" s="442" t="e">
        <f>AK11/'Deuda GNC'!AK$110*100</f>
        <v>#DIV/0!</v>
      </c>
      <c r="AL58" s="442" t="e">
        <f>AL11/'Deuda GNC'!AL$110*100</f>
        <v>#DIV/0!</v>
      </c>
    </row>
    <row r="59" spans="1:38">
      <c r="A59" s="432" t="s">
        <v>263</v>
      </c>
      <c r="B59" s="443">
        <f>B12/'Deuda GNC'!B$110*100</f>
        <v>16.549176545044062</v>
      </c>
      <c r="C59" s="443">
        <f>C12/'Deuda GNC'!C$110*100</f>
        <v>18.557616545824924</v>
      </c>
      <c r="D59" s="443">
        <f>D12/'Deuda GNC'!D$110*100</f>
        <v>20.193096227328191</v>
      </c>
      <c r="E59" s="443">
        <f>E12/'Deuda GNC'!E$110*100</f>
        <v>22.484114824617215</v>
      </c>
      <c r="F59" s="443">
        <f>F12/'Deuda GNC'!F$110*100</f>
        <v>22.730234445227953</v>
      </c>
      <c r="G59" s="443">
        <f>G12/'Deuda GNC'!G$110*100</f>
        <v>22.687198507032413</v>
      </c>
      <c r="H59" s="443">
        <f>H12/'Deuda GNC'!H$110*100</f>
        <v>26.173568395289372</v>
      </c>
      <c r="I59" s="443">
        <f>I12/'Deuda GNC'!I$110*100</f>
        <v>24.737318220474023</v>
      </c>
      <c r="J59" s="443">
        <f>J12/'Deuda GNC'!J$110*100</f>
        <v>23.117972134853442</v>
      </c>
      <c r="K59" s="443">
        <f>K12/'Deuda GNC'!K$110*100</f>
        <v>22.812464068720043</v>
      </c>
      <c r="L59" s="443">
        <f>L12/'Deuda GNC'!L$110*100</f>
        <v>23.831543334521974</v>
      </c>
      <c r="M59" s="443">
        <f>M12/'Deuda GNC'!M$110*100</f>
        <v>24.909385463952692</v>
      </c>
      <c r="N59" s="443">
        <f>N12/'Deuda GNC'!N$110*100</f>
        <v>23.999512411747752</v>
      </c>
      <c r="O59" s="443">
        <f>O12/'Deuda GNC'!O$110*100</f>
        <v>22.955363107477471</v>
      </c>
      <c r="P59" s="443">
        <f>P12/'Deuda GNC'!P$110*100</f>
        <v>24.419296285904174</v>
      </c>
      <c r="Q59" s="443">
        <f>Q12/'Deuda GNC'!Q$110*100</f>
        <v>25.45575360941411</v>
      </c>
      <c r="R59" s="443">
        <f>R12/'Deuda GNC'!R$110*100</f>
        <v>24.834675975648892</v>
      </c>
      <c r="S59" s="443">
        <f>S12/'Deuda GNC'!S$110*100</f>
        <v>26.699975472528248</v>
      </c>
      <c r="T59" s="443">
        <f>T12/'Deuda GNC'!T$110*100</f>
        <v>27.743653463619449</v>
      </c>
      <c r="U59" s="443">
        <f>U12/'Deuda GNC'!U$110*100</f>
        <v>29.740284316125319</v>
      </c>
      <c r="V59" s="443">
        <f>V12/'Deuda GNC'!V$110*100</f>
        <v>29.504870745634904</v>
      </c>
      <c r="W59" s="443">
        <f>W12/'Deuda GNC'!W$110*100</f>
        <v>36.315947405843815</v>
      </c>
      <c r="X59" s="443">
        <f>X12/'Deuda GNC'!X$110*100</f>
        <v>34.337325564134645</v>
      </c>
      <c r="Y59" s="443">
        <f>Y12/'Deuda GNC'!Y$110*100</f>
        <v>31.608817064063881</v>
      </c>
      <c r="Z59" s="444">
        <f>Z12/'Deuda GNC'!Z$110*100</f>
        <v>32.369208215969167</v>
      </c>
      <c r="AA59" s="55">
        <f>AA12/'Deuda GNC'!AA$110*100</f>
        <v>32.369208215969167</v>
      </c>
      <c r="AB59" s="55" t="e">
        <f>AB12/'Deuda GNC'!AB$110*100</f>
        <v>#DIV/0!</v>
      </c>
      <c r="AC59" s="55" t="e">
        <f>AC12/'Deuda GNC'!AC$110*100</f>
        <v>#DIV/0!</v>
      </c>
      <c r="AD59" s="55" t="e">
        <f>AD12/'Deuda GNC'!AD$110*100</f>
        <v>#DIV/0!</v>
      </c>
      <c r="AE59" s="55" t="e">
        <f>AE12/'Deuda GNC'!AE$110*100</f>
        <v>#DIV/0!</v>
      </c>
      <c r="AF59" s="55" t="e">
        <f>AF12/'Deuda GNC'!AF$110*100</f>
        <v>#DIV/0!</v>
      </c>
      <c r="AG59" s="55" t="e">
        <f>AG12/'Deuda GNC'!AG$110*100</f>
        <v>#DIV/0!</v>
      </c>
      <c r="AH59" s="55" t="e">
        <f>AH12/'Deuda GNC'!AH$110*100</f>
        <v>#DIV/0!</v>
      </c>
      <c r="AI59" s="55" t="e">
        <f>AI12/'Deuda GNC'!AI$110*100</f>
        <v>#DIV/0!</v>
      </c>
      <c r="AJ59" s="55" t="e">
        <f>AJ12/'Deuda GNC'!AJ$110*100</f>
        <v>#DIV/0!</v>
      </c>
      <c r="AK59" s="55" t="e">
        <f>AK12/'Deuda GNC'!AK$110*100</f>
        <v>#DIV/0!</v>
      </c>
      <c r="AL59" s="55" t="e">
        <f>AL12/'Deuda GNC'!AL$110*100</f>
        <v>#DIV/0!</v>
      </c>
    </row>
    <row r="60" spans="1:38">
      <c r="A60" s="432" t="s">
        <v>264</v>
      </c>
      <c r="B60" s="443">
        <f>B13/'Deuda GNC'!B$110*100</f>
        <v>14.939057574293699</v>
      </c>
      <c r="C60" s="443">
        <f>C13/'Deuda GNC'!C$110*100</f>
        <v>15.907007607878901</v>
      </c>
      <c r="D60" s="443">
        <f>D13/'Deuda GNC'!D$110*100</f>
        <v>19.054822790627782</v>
      </c>
      <c r="E60" s="443">
        <f>E13/'Deuda GNC'!E$110*100</f>
        <v>21.716135239461895</v>
      </c>
      <c r="F60" s="443">
        <f>F13/'Deuda GNC'!F$110*100</f>
        <v>21.186697880327646</v>
      </c>
      <c r="G60" s="443">
        <f>G13/'Deuda GNC'!G$110*100</f>
        <v>17.63716342082278</v>
      </c>
      <c r="H60" s="443">
        <f>H13/'Deuda GNC'!H$110*100</f>
        <v>14.092188923458432</v>
      </c>
      <c r="I60" s="443">
        <f>I13/'Deuda GNC'!I$110*100</f>
        <v>13.787329491728565</v>
      </c>
      <c r="J60" s="443">
        <f>J13/'Deuda GNC'!J$110*100</f>
        <v>11.120684966057254</v>
      </c>
      <c r="K60" s="443">
        <f>K13/'Deuda GNC'!K$110*100</f>
        <v>11.455797001616668</v>
      </c>
      <c r="L60" s="443">
        <f>L13/'Deuda GNC'!L$110*100</f>
        <v>11.901418756199922</v>
      </c>
      <c r="M60" s="443">
        <f>M13/'Deuda GNC'!M$110*100</f>
        <v>10.900646050965882</v>
      </c>
      <c r="N60" s="443">
        <f>N13/'Deuda GNC'!N$110*100</f>
        <v>10.335688939010602</v>
      </c>
      <c r="O60" s="443">
        <f>O13/'Deuda GNC'!O$110*100</f>
        <v>8.9300149299620664</v>
      </c>
      <c r="P60" s="443">
        <f>P13/'Deuda GNC'!P$110*100</f>
        <v>9.6232764683968668</v>
      </c>
      <c r="Q60" s="443">
        <f>Q13/'Deuda GNC'!Q$110*100</f>
        <v>11.766532836164822</v>
      </c>
      <c r="R60" s="443">
        <f>R13/'Deuda GNC'!R$110*100</f>
        <v>16.104355904079924</v>
      </c>
      <c r="S60" s="443">
        <f>S13/'Deuda GNC'!S$110*100</f>
        <v>15.521252747721784</v>
      </c>
      <c r="T60" s="443">
        <f>T13/'Deuda GNC'!T$110*100</f>
        <v>15.486867532476955</v>
      </c>
      <c r="U60" s="443">
        <f>U13/'Deuda GNC'!U$110*100</f>
        <v>16.611848781482756</v>
      </c>
      <c r="V60" s="443">
        <f>V13/'Deuda GNC'!V$110*100</f>
        <v>15.990254754079809</v>
      </c>
      <c r="W60" s="443">
        <f>W13/'Deuda GNC'!W$110*100</f>
        <v>23.026585985485692</v>
      </c>
      <c r="X60" s="443">
        <f>X13/'Deuda GNC'!X$110*100</f>
        <v>24.518718841019041</v>
      </c>
      <c r="Y60" s="443">
        <f>Y13/'Deuda GNC'!Y$110*100</f>
        <v>24.989036998309643</v>
      </c>
      <c r="Z60" s="444">
        <f>Z13/'Deuda GNC'!Z$110*100</f>
        <v>19.504980712772134</v>
      </c>
      <c r="AA60" s="55" t="e">
        <f>AA13/'Deuda GNC'!AA$110*100</f>
        <v>#DIV/0!</v>
      </c>
      <c r="AB60" s="55" t="e">
        <f>AB13/'Deuda GNC'!AB$110*100</f>
        <v>#DIV/0!</v>
      </c>
      <c r="AC60" s="55" t="e">
        <f>AC13/'Deuda GNC'!AC$110*100</f>
        <v>#DIV/0!</v>
      </c>
      <c r="AD60" s="55" t="e">
        <f>AD13/'Deuda GNC'!AD$110*100</f>
        <v>#DIV/0!</v>
      </c>
      <c r="AE60" s="55" t="e">
        <f>AE13/'Deuda GNC'!AE$110*100</f>
        <v>#DIV/0!</v>
      </c>
      <c r="AF60" s="55" t="e">
        <f>AF13/'Deuda GNC'!AF$110*100</f>
        <v>#DIV/0!</v>
      </c>
      <c r="AG60" s="55" t="e">
        <f>AG13/'Deuda GNC'!AG$110*100</f>
        <v>#DIV/0!</v>
      </c>
      <c r="AH60" s="55" t="e">
        <f>AH13/'Deuda GNC'!AH$110*100</f>
        <v>#DIV/0!</v>
      </c>
      <c r="AI60" s="55" t="e">
        <f>AI13/'Deuda GNC'!AI$110*100</f>
        <v>#DIV/0!</v>
      </c>
      <c r="AJ60" s="55" t="e">
        <f>AJ13/'Deuda GNC'!AJ$110*100</f>
        <v>#DIV/0!</v>
      </c>
      <c r="AK60" s="55" t="e">
        <f>AK13/'Deuda GNC'!AK$110*100</f>
        <v>#DIV/0!</v>
      </c>
      <c r="AL60" s="55" t="e">
        <f>AL13/'Deuda GNC'!AL$110*100</f>
        <v>#DIV/0!</v>
      </c>
    </row>
    <row r="61" spans="1:38" s="175" customFormat="1">
      <c r="A61" s="439" t="s">
        <v>265</v>
      </c>
      <c r="B61" s="440">
        <f>B14/'Deuda GNC'!B$110*100</f>
        <v>7.0670007235509286E-2</v>
      </c>
      <c r="C61" s="440">
        <f>C14/'Deuda GNC'!C$110*100</f>
        <v>0.69480175003528355</v>
      </c>
      <c r="D61" s="440">
        <f>D14/'Deuda GNC'!D$110*100</f>
        <v>0.68386603698495696</v>
      </c>
      <c r="E61" s="440">
        <f>E14/'Deuda GNC'!E$110*100</f>
        <v>1.2771110217484216</v>
      </c>
      <c r="F61" s="440">
        <f>F14/'Deuda GNC'!F$110*100</f>
        <v>1.182423943433456</v>
      </c>
      <c r="G61" s="440">
        <f>G14/'Deuda GNC'!G$110*100</f>
        <v>1.2926646642153321</v>
      </c>
      <c r="H61" s="440">
        <f>H14/'Deuda GNC'!H$110*100</f>
        <v>1.1152273359411524</v>
      </c>
      <c r="I61" s="440">
        <f>I14/'Deuda GNC'!I$110*100</f>
        <v>0.53015691659416564</v>
      </c>
      <c r="J61" s="440">
        <f>J14/'Deuda GNC'!J$110*100</f>
        <v>1.6100124619025171</v>
      </c>
      <c r="K61" s="440">
        <f>K14/'Deuda GNC'!K$110*100</f>
        <v>1.0948537973725974</v>
      </c>
      <c r="L61" s="440">
        <f>L14/'Deuda GNC'!L$110*100</f>
        <v>1.2175515601335016</v>
      </c>
      <c r="M61" s="440">
        <f>M14/'Deuda GNC'!M$110*100</f>
        <v>1.4726737018844822</v>
      </c>
      <c r="N61" s="440">
        <f>N14/'Deuda GNC'!N$110*100</f>
        <v>0.34744986856872573</v>
      </c>
      <c r="O61" s="440">
        <f>O14/'Deuda GNC'!O$110*100</f>
        <v>0.56580574506108927</v>
      </c>
      <c r="P61" s="440">
        <f>P14/'Deuda GNC'!P$110*100</f>
        <v>0.87715422408271915</v>
      </c>
      <c r="Q61" s="440">
        <f>Q14/'Deuda GNC'!Q$110*100</f>
        <v>0.77283607437195689</v>
      </c>
      <c r="R61" s="440">
        <f>R14/'Deuda GNC'!R$110*100</f>
        <v>1.4622512666069201</v>
      </c>
      <c r="S61" s="440">
        <f>S14/'Deuda GNC'!S$110*100</f>
        <v>1.4339300447275776</v>
      </c>
      <c r="T61" s="440">
        <f>T14/'Deuda GNC'!T$110*100</f>
        <v>1.5167781875670794</v>
      </c>
      <c r="U61" s="440">
        <f>U14/'Deuda GNC'!U$110*100</f>
        <v>1.6363509605210012</v>
      </c>
      <c r="V61" s="440">
        <f>V14/'Deuda GNC'!V$110*100</f>
        <v>1.747735407932604</v>
      </c>
      <c r="W61" s="440">
        <f>W14/'Deuda GNC'!W$110*100</f>
        <v>2.7568761984088122</v>
      </c>
      <c r="X61" s="440">
        <f>X14/'Deuda GNC'!X$110*100</f>
        <v>1.8790963072104643</v>
      </c>
      <c r="Y61" s="440">
        <f>Y14/'Deuda GNC'!Y$110*100</f>
        <v>3.0760799625958639</v>
      </c>
      <c r="Z61" s="441">
        <f>Z14/'Deuda GNC'!Z$110*100</f>
        <v>3.1580037678426036</v>
      </c>
      <c r="AA61" s="442">
        <f>AA14/'Deuda GNC'!AA$110*100</f>
        <v>0</v>
      </c>
      <c r="AB61" s="442">
        <f>AB14/'Deuda GNC'!AB$110*100</f>
        <v>0</v>
      </c>
      <c r="AC61" s="442">
        <f>AC14/'Deuda GNC'!AC$110*100</f>
        <v>0</v>
      </c>
      <c r="AD61" s="442">
        <f>AD14/'Deuda GNC'!AD$110*100</f>
        <v>0</v>
      </c>
      <c r="AE61" s="442">
        <f>AE14/'Deuda GNC'!AE$110*100</f>
        <v>0</v>
      </c>
      <c r="AF61" s="442">
        <f>AF14/'Deuda GNC'!AF$110*100</f>
        <v>0</v>
      </c>
      <c r="AG61" s="442">
        <f>AG14/'Deuda GNC'!AG$110*100</f>
        <v>0</v>
      </c>
      <c r="AH61" s="442">
        <f>AH14/'Deuda GNC'!AH$110*100</f>
        <v>0</v>
      </c>
      <c r="AI61" s="442">
        <f>AI14/'Deuda GNC'!AI$110*100</f>
        <v>0</v>
      </c>
      <c r="AJ61" s="442">
        <f>AJ14/'Deuda GNC'!AJ$110*100</f>
        <v>0</v>
      </c>
      <c r="AK61" s="442">
        <f>AK14/'Deuda GNC'!AK$110*100</f>
        <v>0</v>
      </c>
      <c r="AL61" s="442">
        <f>AL14/'Deuda GNC'!AL$110*100</f>
        <v>0</v>
      </c>
    </row>
    <row r="62" spans="1:38" s="175" customFormat="1">
      <c r="A62" s="439" t="s">
        <v>266</v>
      </c>
      <c r="B62" s="440">
        <f>B15/'Deuda GNC'!B$110*100</f>
        <v>3.0377630784230178</v>
      </c>
      <c r="C62" s="440">
        <f>C15/'Deuda GNC'!C$110*100</f>
        <v>2.0250769929704613</v>
      </c>
      <c r="D62" s="440">
        <f>D15/'Deuda GNC'!D$110*100</f>
        <v>1.4598971850220885</v>
      </c>
      <c r="E62" s="440">
        <f>E15/'Deuda GNC'!E$110*100</f>
        <v>1.7275383248221434</v>
      </c>
      <c r="F62" s="440">
        <f>F15/'Deuda GNC'!F$110*100</f>
        <v>1.1916702049684398</v>
      </c>
      <c r="G62" s="440">
        <f>G15/'Deuda GNC'!G$110*100</f>
        <v>1.616380984178226</v>
      </c>
      <c r="H62" s="440">
        <f>H15/'Deuda GNC'!H$110*100</f>
        <v>1.2845907043271592</v>
      </c>
      <c r="I62" s="440">
        <f>I15/'Deuda GNC'!I$110*100</f>
        <v>1.2201441884963236</v>
      </c>
      <c r="J62" s="440">
        <f>J15/'Deuda GNC'!J$110*100</f>
        <v>0.68577388968223074</v>
      </c>
      <c r="K62" s="440">
        <f>K15/'Deuda GNC'!K$110*100</f>
        <v>0.69531652403770272</v>
      </c>
      <c r="L62" s="440">
        <f>L15/'Deuda GNC'!L$110*100</f>
        <v>0.95358881591795575</v>
      </c>
      <c r="M62" s="440">
        <f>M15/'Deuda GNC'!M$110*100</f>
        <v>1.1550550609313672</v>
      </c>
      <c r="N62" s="440">
        <f>N15/'Deuda GNC'!N$110*100</f>
        <v>1.6023563417590438</v>
      </c>
      <c r="O62" s="440">
        <f>O15/'Deuda GNC'!O$110*100</f>
        <v>1.7469936413621152</v>
      </c>
      <c r="P62" s="440">
        <f>P15/'Deuda GNC'!P$110*100</f>
        <v>1.7258117550521028</v>
      </c>
      <c r="Q62" s="440">
        <f>Q15/'Deuda GNC'!Q$110*100</f>
        <v>1.9041004663707617</v>
      </c>
      <c r="R62" s="440">
        <f>R15/'Deuda GNC'!R$110*100</f>
        <v>2.2112538422935879</v>
      </c>
      <c r="S62" s="440">
        <f>S15/'Deuda GNC'!S$110*100</f>
        <v>1.9718486086434661</v>
      </c>
      <c r="T62" s="440">
        <f>T15/'Deuda GNC'!T$110*100</f>
        <v>1.6323395663597744</v>
      </c>
      <c r="U62" s="440">
        <f>U15/'Deuda GNC'!U$110*100</f>
        <v>1.3406877358447882</v>
      </c>
      <c r="V62" s="440">
        <f>V15/'Deuda GNC'!V$110*100</f>
        <v>3.101394784066783</v>
      </c>
      <c r="W62" s="440">
        <f>W15/'Deuda GNC'!W$110*100</f>
        <v>2.9828221464390619</v>
      </c>
      <c r="X62" s="440">
        <f>X15/'Deuda GNC'!X$110*100</f>
        <v>2.2415716984241092</v>
      </c>
      <c r="Y62" s="440">
        <f>Y15/'Deuda GNC'!Y$110*100</f>
        <v>1.4658859785316758</v>
      </c>
      <c r="Z62" s="441">
        <f>Z15/'Deuda GNC'!Z$110*100</f>
        <v>1.6867846633787325</v>
      </c>
      <c r="AA62" s="442">
        <f>AA15/'Deuda GNC'!AA$110*100</f>
        <v>0</v>
      </c>
      <c r="AB62" s="442">
        <f>AB15/'Deuda GNC'!AB$110*100</f>
        <v>0</v>
      </c>
      <c r="AC62" s="442">
        <f>AC15/'Deuda GNC'!AC$110*100</f>
        <v>0</v>
      </c>
      <c r="AD62" s="442">
        <f>AD15/'Deuda GNC'!AD$110*100</f>
        <v>0</v>
      </c>
      <c r="AE62" s="442">
        <f>AE15/'Deuda GNC'!AE$110*100</f>
        <v>0</v>
      </c>
      <c r="AF62" s="442">
        <f>AF15/'Deuda GNC'!AF$110*100</f>
        <v>0</v>
      </c>
      <c r="AG62" s="442">
        <f>AG15/'Deuda GNC'!AG$110*100</f>
        <v>0</v>
      </c>
      <c r="AH62" s="442">
        <f>AH15/'Deuda GNC'!AH$110*100</f>
        <v>0</v>
      </c>
      <c r="AI62" s="442">
        <f>AI15/'Deuda GNC'!AI$110*100</f>
        <v>0</v>
      </c>
      <c r="AJ62" s="442">
        <f>AJ15/'Deuda GNC'!AJ$110*100</f>
        <v>0</v>
      </c>
      <c r="AK62" s="442">
        <f>AK15/'Deuda GNC'!AK$110*100</f>
        <v>0</v>
      </c>
      <c r="AL62" s="442">
        <f>AL15/'Deuda GNC'!AL$110*100</f>
        <v>0</v>
      </c>
    </row>
    <row r="63" spans="1:38">
      <c r="A63" s="432" t="s">
        <v>267</v>
      </c>
      <c r="B63" s="443">
        <f>B16/'Deuda GNC'!B$110*100</f>
        <v>3.0377630784230178</v>
      </c>
      <c r="C63" s="443">
        <f>C16/'Deuda GNC'!C$110*100</f>
        <v>2.0250769929704613</v>
      </c>
      <c r="D63" s="443">
        <f>D16/'Deuda GNC'!D$110*100</f>
        <v>1.4598971850220885</v>
      </c>
      <c r="E63" s="443">
        <f>E16/'Deuda GNC'!E$110*100</f>
        <v>1.7275383248221434</v>
      </c>
      <c r="F63" s="443">
        <f>F16/'Deuda GNC'!F$110*100</f>
        <v>1.1916702049684398</v>
      </c>
      <c r="G63" s="443">
        <f>G16/'Deuda GNC'!G$110*100</f>
        <v>1.616380984178226</v>
      </c>
      <c r="H63" s="443">
        <f>H16/'Deuda GNC'!H$110*100</f>
        <v>1.2845907043271592</v>
      </c>
      <c r="I63" s="443">
        <f>I16/'Deuda GNC'!I$110*100</f>
        <v>1.2201441884963236</v>
      </c>
      <c r="J63" s="443">
        <f>J16/'Deuda GNC'!J$110*100</f>
        <v>0.68577388968223074</v>
      </c>
      <c r="K63" s="443">
        <f>K16/'Deuda GNC'!K$110*100</f>
        <v>0.69531652403770272</v>
      </c>
      <c r="L63" s="443">
        <f>L16/'Deuda GNC'!L$110*100</f>
        <v>0.95358881591795575</v>
      </c>
      <c r="M63" s="443">
        <f>M16/'Deuda GNC'!M$110*100</f>
        <v>1.1550550609313672</v>
      </c>
      <c r="N63" s="443">
        <f>N16/'Deuda GNC'!N$110*100</f>
        <v>1.6023563417590438</v>
      </c>
      <c r="O63" s="443">
        <f>O16/'Deuda GNC'!O$110*100</f>
        <v>1.7469936413621152</v>
      </c>
      <c r="P63" s="443">
        <f>P16/'Deuda GNC'!P$110*100</f>
        <v>1.7258117550521028</v>
      </c>
      <c r="Q63" s="443">
        <f>Q16/'Deuda GNC'!Q$110*100</f>
        <v>1.3436915024167591</v>
      </c>
      <c r="R63" s="443">
        <f>R16/'Deuda GNC'!R$110*100</f>
        <v>0.98523372434895562</v>
      </c>
      <c r="S63" s="443">
        <f>S16/'Deuda GNC'!S$110*100</f>
        <v>0.64624684190231896</v>
      </c>
      <c r="T63" s="443">
        <f>T16/'Deuda GNC'!T$110*100</f>
        <v>0.41327895876333631</v>
      </c>
      <c r="U63" s="443">
        <f>U16/'Deuda GNC'!U$110*100</f>
        <v>8.470051849354697E-2</v>
      </c>
      <c r="V63" s="443">
        <f>V16/'Deuda GNC'!V$110*100</f>
        <v>2.7367398087796733E-2</v>
      </c>
      <c r="W63" s="443">
        <f>W16/'Deuda GNC'!W$110*100</f>
        <v>1.5916576386159929E-2</v>
      </c>
      <c r="X63" s="443">
        <f>X16/'Deuda GNC'!X$110*100</f>
        <v>3.3457608502362228E-2</v>
      </c>
      <c r="Y63" s="443">
        <f>Y16/'Deuda GNC'!Y$110*100</f>
        <v>1.8905151845417321E-2</v>
      </c>
      <c r="Z63" s="444">
        <f>Z16/'Deuda GNC'!Z$110*100</f>
        <v>1.8836677450317311E-2</v>
      </c>
      <c r="AA63" s="55">
        <f>AA16/'Deuda GNC'!AA$110*100</f>
        <v>0</v>
      </c>
      <c r="AB63" s="55">
        <f>AB16/'Deuda GNC'!AB$110*100</f>
        <v>0</v>
      </c>
      <c r="AC63" s="55">
        <f>AC16/'Deuda GNC'!AC$110*100</f>
        <v>0</v>
      </c>
      <c r="AD63" s="55">
        <f>AD16/'Deuda GNC'!AD$110*100</f>
        <v>0</v>
      </c>
      <c r="AE63" s="55">
        <f>AE16/'Deuda GNC'!AE$110*100</f>
        <v>0</v>
      </c>
      <c r="AF63" s="55">
        <f>AF16/'Deuda GNC'!AF$110*100</f>
        <v>0</v>
      </c>
      <c r="AG63" s="55">
        <f>AG16/'Deuda GNC'!AG$110*100</f>
        <v>0</v>
      </c>
      <c r="AH63" s="55">
        <f>AH16/'Deuda GNC'!AH$110*100</f>
        <v>0</v>
      </c>
      <c r="AI63" s="55">
        <f>AI16/'Deuda GNC'!AI$110*100</f>
        <v>0</v>
      </c>
      <c r="AJ63" s="55">
        <f>AJ16/'Deuda GNC'!AJ$110*100</f>
        <v>0</v>
      </c>
      <c r="AK63" s="55">
        <f>AK16/'Deuda GNC'!AK$110*100</f>
        <v>0</v>
      </c>
      <c r="AL63" s="55">
        <f>AL16/'Deuda GNC'!AL$110*100</f>
        <v>0</v>
      </c>
    </row>
    <row r="64" spans="1:38">
      <c r="A64" s="432" t="s">
        <v>268</v>
      </c>
      <c r="B64" s="443">
        <f>B17/'Deuda GNC'!B$110*100</f>
        <v>0</v>
      </c>
      <c r="C64" s="443">
        <f>C17/'Deuda GNC'!C$110*100</f>
        <v>0</v>
      </c>
      <c r="D64" s="443">
        <f>D17/'Deuda GNC'!D$110*100</f>
        <v>0</v>
      </c>
      <c r="E64" s="443">
        <f>E17/'Deuda GNC'!E$110*100</f>
        <v>0</v>
      </c>
      <c r="F64" s="443">
        <f>F17/'Deuda GNC'!F$110*100</f>
        <v>0</v>
      </c>
      <c r="G64" s="443">
        <f>G17/'Deuda GNC'!G$110*100</f>
        <v>0</v>
      </c>
      <c r="H64" s="443">
        <f>H17/'Deuda GNC'!H$110*100</f>
        <v>0</v>
      </c>
      <c r="I64" s="443">
        <f>I17/'Deuda GNC'!I$110*100</f>
        <v>0</v>
      </c>
      <c r="J64" s="443">
        <f>J17/'Deuda GNC'!J$110*100</f>
        <v>0</v>
      </c>
      <c r="K64" s="443">
        <f>K17/'Deuda GNC'!K$110*100</f>
        <v>0</v>
      </c>
      <c r="L64" s="443">
        <f>L17/'Deuda GNC'!L$110*100</f>
        <v>0</v>
      </c>
      <c r="M64" s="443">
        <f>M17/'Deuda GNC'!M$110*100</f>
        <v>0</v>
      </c>
      <c r="N64" s="443">
        <f>N17/'Deuda GNC'!N$110*100</f>
        <v>0</v>
      </c>
      <c r="O64" s="443">
        <f>O17/'Deuda GNC'!O$110*100</f>
        <v>0</v>
      </c>
      <c r="P64" s="443">
        <f>P17/'Deuda GNC'!P$110*100</f>
        <v>0</v>
      </c>
      <c r="Q64" s="443">
        <f>Q17/'Deuda GNC'!Q$110*100</f>
        <v>0.56040896395400275</v>
      </c>
      <c r="R64" s="443">
        <f>R17/'Deuda GNC'!R$110*100</f>
        <v>1.2260201179446319</v>
      </c>
      <c r="S64" s="443">
        <f>S17/'Deuda GNC'!S$110*100</f>
        <v>1.3256017667411473</v>
      </c>
      <c r="T64" s="443">
        <f>T17/'Deuda GNC'!T$110*100</f>
        <v>1.2190606075964381</v>
      </c>
      <c r="U64" s="443">
        <f>U17/'Deuda GNC'!U$110*100</f>
        <v>1.255987217351241</v>
      </c>
      <c r="V64" s="443">
        <f>V17/'Deuda GNC'!V$110*100</f>
        <v>1.3966437401185583</v>
      </c>
      <c r="W64" s="443">
        <f>W17/'Deuda GNC'!W$110*100</f>
        <v>1.4051290182323313</v>
      </c>
      <c r="X64" s="443">
        <f>X17/'Deuda GNC'!X$110*100</f>
        <v>1.1973303462399336</v>
      </c>
      <c r="Y64" s="443">
        <f>Y17/'Deuda GNC'!Y$110*100</f>
        <v>1.1744812673320555</v>
      </c>
      <c r="Z64" s="444">
        <f>Z17/'Deuda GNC'!Z$110*100</f>
        <v>1.468786157332969</v>
      </c>
      <c r="AA64" s="55">
        <f>AA17/'Deuda GNC'!AA$110*100</f>
        <v>0</v>
      </c>
      <c r="AB64" s="55">
        <f>AB17/'Deuda GNC'!AB$110*100</f>
        <v>0</v>
      </c>
      <c r="AC64" s="55">
        <f>AC17/'Deuda GNC'!AC$110*100</f>
        <v>0</v>
      </c>
      <c r="AD64" s="55">
        <f>AD17/'Deuda GNC'!AD$110*100</f>
        <v>0</v>
      </c>
      <c r="AE64" s="55">
        <f>AE17/'Deuda GNC'!AE$110*100</f>
        <v>0</v>
      </c>
      <c r="AF64" s="55">
        <f>AF17/'Deuda GNC'!AF$110*100</f>
        <v>0</v>
      </c>
      <c r="AG64" s="55">
        <f>AG17/'Deuda GNC'!AG$110*100</f>
        <v>0</v>
      </c>
      <c r="AH64" s="55">
        <f>AH17/'Deuda GNC'!AH$110*100</f>
        <v>0</v>
      </c>
      <c r="AI64" s="55">
        <f>AI17/'Deuda GNC'!AI$110*100</f>
        <v>0</v>
      </c>
      <c r="AJ64" s="55">
        <f>AJ17/'Deuda GNC'!AJ$110*100</f>
        <v>0</v>
      </c>
      <c r="AK64" s="55">
        <f>AK17/'Deuda GNC'!AK$110*100</f>
        <v>0</v>
      </c>
      <c r="AL64" s="55">
        <f>AL17/'Deuda GNC'!AL$110*100</f>
        <v>0</v>
      </c>
    </row>
    <row r="65" spans="1:52">
      <c r="A65" s="432" t="s">
        <v>269</v>
      </c>
      <c r="B65" s="443">
        <f>B18/'Deuda GNC'!B$110*100</f>
        <v>0</v>
      </c>
      <c r="C65" s="443">
        <f>C18/'Deuda GNC'!C$110*100</f>
        <v>0</v>
      </c>
      <c r="D65" s="443">
        <f>D18/'Deuda GNC'!D$110*100</f>
        <v>0</v>
      </c>
      <c r="E65" s="443">
        <f>E18/'Deuda GNC'!E$110*100</f>
        <v>0</v>
      </c>
      <c r="F65" s="443">
        <f>F18/'Deuda GNC'!F$110*100</f>
        <v>0</v>
      </c>
      <c r="G65" s="443">
        <f>G18/'Deuda GNC'!G$110*100</f>
        <v>0</v>
      </c>
      <c r="H65" s="443">
        <f>H18/'Deuda GNC'!H$110*100</f>
        <v>0</v>
      </c>
      <c r="I65" s="443">
        <f>I18/'Deuda GNC'!I$110*100</f>
        <v>0</v>
      </c>
      <c r="J65" s="443">
        <f>J18/'Deuda GNC'!J$110*100</f>
        <v>0</v>
      </c>
      <c r="K65" s="443">
        <f>K18/'Deuda GNC'!K$110*100</f>
        <v>0</v>
      </c>
      <c r="L65" s="443">
        <f>L18/'Deuda GNC'!L$110*100</f>
        <v>0</v>
      </c>
      <c r="M65" s="443">
        <f>M18/'Deuda GNC'!M$110*100</f>
        <v>0</v>
      </c>
      <c r="N65" s="443">
        <f>N18/'Deuda GNC'!N$110*100</f>
        <v>0</v>
      </c>
      <c r="O65" s="443">
        <f>O18/'Deuda GNC'!O$110*100</f>
        <v>0</v>
      </c>
      <c r="P65" s="443">
        <f>P18/'Deuda GNC'!P$110*100</f>
        <v>0</v>
      </c>
      <c r="Q65" s="443">
        <f>Q18/'Deuda GNC'!Q$110*100</f>
        <v>0</v>
      </c>
      <c r="R65" s="443">
        <f>R18/'Deuda GNC'!R$110*100</f>
        <v>0</v>
      </c>
      <c r="S65" s="443">
        <f>S18/'Deuda GNC'!S$110*100</f>
        <v>0</v>
      </c>
      <c r="T65" s="443">
        <f>T18/'Deuda GNC'!T$110*100</f>
        <v>0</v>
      </c>
      <c r="U65" s="443">
        <f>U18/'Deuda GNC'!U$110*100</f>
        <v>0</v>
      </c>
      <c r="V65" s="443">
        <f>V18/'Deuda GNC'!V$110*100</f>
        <v>1.6773836458604277</v>
      </c>
      <c r="W65" s="443">
        <f>W18/'Deuda GNC'!W$110*100</f>
        <v>1.5617765518205708</v>
      </c>
      <c r="X65" s="443">
        <f>X18/'Deuda GNC'!X$110*100</f>
        <v>1.0107837436818137</v>
      </c>
      <c r="Y65" s="443">
        <f>Y18/'Deuda GNC'!Y$110*100</f>
        <v>0.272499559354203</v>
      </c>
      <c r="Z65" s="444">
        <f>Z18/'Deuda GNC'!Z$110*100</f>
        <v>0.19916182859544629</v>
      </c>
      <c r="AA65" s="55">
        <f>AA18/'Deuda GNC'!AA$110*100</f>
        <v>0</v>
      </c>
      <c r="AB65" s="55">
        <f>AB18/'Deuda GNC'!AB$110*100</f>
        <v>0</v>
      </c>
      <c r="AC65" s="55">
        <f>AC18/'Deuda GNC'!AC$110*100</f>
        <v>0</v>
      </c>
      <c r="AD65" s="55">
        <f>AD18/'Deuda GNC'!AD$110*100</f>
        <v>0</v>
      </c>
      <c r="AE65" s="55">
        <f>AE18/'Deuda GNC'!AE$110*100</f>
        <v>0</v>
      </c>
      <c r="AF65" s="55">
        <f>AF18/'Deuda GNC'!AF$110*100</f>
        <v>0</v>
      </c>
      <c r="AG65" s="55">
        <f>AG18/'Deuda GNC'!AG$110*100</f>
        <v>0</v>
      </c>
      <c r="AH65" s="55">
        <f>AH18/'Deuda GNC'!AH$110*100</f>
        <v>0</v>
      </c>
      <c r="AI65" s="55">
        <f>AI18/'Deuda GNC'!AI$110*100</f>
        <v>0</v>
      </c>
      <c r="AJ65" s="55">
        <f>AJ18/'Deuda GNC'!AJ$110*100</f>
        <v>0</v>
      </c>
      <c r="AK65" s="55">
        <f>AK18/'Deuda GNC'!AK$110*100</f>
        <v>0</v>
      </c>
      <c r="AL65" s="55">
        <f>AL18/'Deuda GNC'!AL$110*100</f>
        <v>0</v>
      </c>
      <c r="AM65" s="413"/>
      <c r="AN65" s="413"/>
      <c r="AO65" s="413"/>
      <c r="AP65" s="413"/>
      <c r="AQ65" s="413"/>
      <c r="AR65" s="413"/>
      <c r="AS65" s="413"/>
      <c r="AT65" s="413"/>
      <c r="AU65" s="413"/>
      <c r="AV65" s="413"/>
      <c r="AW65" s="413"/>
      <c r="AX65" s="413"/>
      <c r="AY65" s="413"/>
      <c r="AZ65" s="413"/>
    </row>
    <row r="66" spans="1:52" s="175" customFormat="1">
      <c r="A66" s="439" t="s">
        <v>270</v>
      </c>
      <c r="B66" s="440">
        <f>B19/'Deuda GNC'!B$110*100</f>
        <v>1.6518593377272481</v>
      </c>
      <c r="C66" s="440">
        <f>C19/'Deuda GNC'!C$110*100</f>
        <v>1.202946841808175</v>
      </c>
      <c r="D66" s="440">
        <f>D19/'Deuda GNC'!D$110*100</f>
        <v>2.5053856792200464</v>
      </c>
      <c r="E66" s="440">
        <f>E19/'Deuda GNC'!E$110*100</f>
        <v>0.91019113442510291</v>
      </c>
      <c r="F66" s="440">
        <f>F19/'Deuda GNC'!F$110*100</f>
        <v>1.1101570390714344</v>
      </c>
      <c r="G66" s="440">
        <f>G19/'Deuda GNC'!G$110*100</f>
        <v>1.7875768132317733</v>
      </c>
      <c r="H66" s="440">
        <f>H19/'Deuda GNC'!H$110*100</f>
        <v>2.222602712643821</v>
      </c>
      <c r="I66" s="440">
        <f>I19/'Deuda GNC'!I$110*100</f>
        <v>2.0553356232340438</v>
      </c>
      <c r="J66" s="440">
        <f>J19/'Deuda GNC'!J$110*100</f>
        <v>0.78725696932856626</v>
      </c>
      <c r="K66" s="440">
        <f>K19/'Deuda GNC'!K$110*100</f>
        <v>0.79730165059938085</v>
      </c>
      <c r="L66" s="440">
        <f>L19/'Deuda GNC'!L$110*100</f>
        <v>1.3570864500925786</v>
      </c>
      <c r="M66" s="440">
        <f>M19/'Deuda GNC'!M$110*100</f>
        <v>1.4446536750977168</v>
      </c>
      <c r="N66" s="440">
        <f>N19/'Deuda GNC'!N$110*100</f>
        <v>1.8898581364701679</v>
      </c>
      <c r="O66" s="440">
        <f>O19/'Deuda GNC'!O$110*100</f>
        <v>1.0298934824452723</v>
      </c>
      <c r="P66" s="440">
        <f>P19/'Deuda GNC'!P$110*100</f>
        <v>2.4579652587208005</v>
      </c>
      <c r="Q66" s="440">
        <f>Q19/'Deuda GNC'!Q$110*100</f>
        <v>3.1903380267280164</v>
      </c>
      <c r="R66" s="440">
        <f>R19/'Deuda GNC'!R$110*100</f>
        <v>2.8401677006903787</v>
      </c>
      <c r="S66" s="440">
        <f>S19/'Deuda GNC'!S$110*100</f>
        <v>2.4600018710347804</v>
      </c>
      <c r="T66" s="440">
        <f>T19/'Deuda GNC'!T$110*100</f>
        <v>2.5940971828776593</v>
      </c>
      <c r="U66" s="440">
        <f>U19/'Deuda GNC'!U$110*100</f>
        <v>2.9854589573645671</v>
      </c>
      <c r="V66" s="440">
        <f>V19/'Deuda GNC'!V$110*100</f>
        <v>1.9549408496753617</v>
      </c>
      <c r="W66" s="440">
        <f>W19/'Deuda GNC'!W$110*100</f>
        <v>4.3808092001620507</v>
      </c>
      <c r="X66" s="440">
        <f>X19/'Deuda GNC'!X$110*100</f>
        <v>2.9216178604755294</v>
      </c>
      <c r="Y66" s="440">
        <f>Y19/'Deuda GNC'!Y$110*100</f>
        <v>3.1963626726928056</v>
      </c>
      <c r="Z66" s="441">
        <f>Z19/'Deuda GNC'!Z$110*100</f>
        <v>0</v>
      </c>
      <c r="AA66" s="442">
        <f>AA19/'Deuda GNC'!AA$110*100</f>
        <v>0</v>
      </c>
      <c r="AB66" s="442">
        <f>AB19/'Deuda GNC'!AB$110*100</f>
        <v>0</v>
      </c>
      <c r="AC66" s="442">
        <f>AC19/'Deuda GNC'!AC$110*100</f>
        <v>0</v>
      </c>
      <c r="AD66" s="442">
        <f>AD19/'Deuda GNC'!AD$110*100</f>
        <v>0</v>
      </c>
      <c r="AE66" s="442">
        <f>AE19/'Deuda GNC'!AE$110*100</f>
        <v>0</v>
      </c>
      <c r="AF66" s="442">
        <f>AF19/'Deuda GNC'!AF$110*100</f>
        <v>0</v>
      </c>
      <c r="AG66" s="442">
        <f>AG19/'Deuda GNC'!AG$110*100</f>
        <v>0</v>
      </c>
      <c r="AH66" s="442">
        <f>AH19/'Deuda GNC'!AH$110*100</f>
        <v>0</v>
      </c>
      <c r="AI66" s="442">
        <f>AI19/'Deuda GNC'!AI$110*100</f>
        <v>0</v>
      </c>
      <c r="AJ66" s="442">
        <f>AJ19/'Deuda GNC'!AJ$110*100</f>
        <v>0</v>
      </c>
      <c r="AK66" s="442">
        <f>AK19/'Deuda GNC'!AK$110*100</f>
        <v>0</v>
      </c>
      <c r="AL66" s="442">
        <f>AL19/'Deuda GNC'!AL$110*100</f>
        <v>0</v>
      </c>
      <c r="AM66" s="413"/>
      <c r="AN66" s="413"/>
      <c r="AO66" s="413"/>
      <c r="AP66" s="413"/>
      <c r="AQ66" s="413"/>
      <c r="AR66" s="413"/>
      <c r="AS66" s="413"/>
      <c r="AT66" s="413"/>
      <c r="AU66" s="413"/>
    </row>
    <row r="67" spans="1:52">
      <c r="A67" s="432" t="s">
        <v>271</v>
      </c>
      <c r="B67" s="443">
        <f>B20/'Deuda GNC'!B$110*100</f>
        <v>0.72204404394950705</v>
      </c>
      <c r="C67" s="443">
        <f>C20/'Deuda GNC'!C$110*100</f>
        <v>0.48498423894293552</v>
      </c>
      <c r="D67" s="443">
        <f>D20/'Deuda GNC'!D$110*100</f>
        <v>0.63907242770997441</v>
      </c>
      <c r="E67" s="443">
        <f>E20/'Deuda GNC'!E$110*100</f>
        <v>0.46967340549146391</v>
      </c>
      <c r="F67" s="443">
        <f>F20/'Deuda GNC'!F$110*100</f>
        <v>0.46205347890514831</v>
      </c>
      <c r="G67" s="443">
        <f>G20/'Deuda GNC'!G$110*100</f>
        <v>0.90798118190278043</v>
      </c>
      <c r="H67" s="443">
        <f>H20/'Deuda GNC'!H$110*100</f>
        <v>1.2918752048632847</v>
      </c>
      <c r="I67" s="443">
        <f>I20/'Deuda GNC'!I$110*100</f>
        <v>0.89944110485686746</v>
      </c>
      <c r="J67" s="443">
        <f>J20/'Deuda GNC'!J$110*100</f>
        <v>0.56863455245993988</v>
      </c>
      <c r="K67" s="443">
        <f>K20/'Deuda GNC'!K$110*100</f>
        <v>0.52367190349046555</v>
      </c>
      <c r="L67" s="443">
        <f>L20/'Deuda GNC'!L$110*100</f>
        <v>0.37264264090953131</v>
      </c>
      <c r="M67" s="443">
        <f>M20/'Deuda GNC'!M$110*100</f>
        <v>0.96790163206990298</v>
      </c>
      <c r="N67" s="443">
        <f>N20/'Deuda GNC'!N$110*100</f>
        <v>1.411218246682195</v>
      </c>
      <c r="O67" s="443">
        <f>O20/'Deuda GNC'!O$110*100</f>
        <v>0.86940749442567677</v>
      </c>
      <c r="P67" s="443">
        <f>P20/'Deuda GNC'!P$110*100</f>
        <v>2.1535027021507043</v>
      </c>
      <c r="Q67" s="443">
        <f>Q20/'Deuda GNC'!Q$110*100</f>
        <v>2.8697000108690136</v>
      </c>
      <c r="R67" s="443">
        <f>R20/'Deuda GNC'!R$110*100</f>
        <v>2.1475764951167831</v>
      </c>
      <c r="S67" s="443">
        <f>S20/'Deuda GNC'!S$110*100</f>
        <v>1.4806955841998273</v>
      </c>
      <c r="T67" s="443">
        <f>T20/'Deuda GNC'!T$110*100</f>
        <v>1.7650951687998049</v>
      </c>
      <c r="U67" s="443">
        <f>U20/'Deuda GNC'!U$110*100</f>
        <v>2.0761641144783272</v>
      </c>
      <c r="V67" s="443">
        <f>V20/'Deuda GNC'!V$110*100</f>
        <v>1.3254621793136472</v>
      </c>
      <c r="W67" s="443">
        <f>W20/'Deuda GNC'!W$110*100</f>
        <v>2.9351830881035577</v>
      </c>
      <c r="X67" s="443">
        <f>X20/'Deuda GNC'!X$110*100</f>
        <v>2.3197787999845074</v>
      </c>
      <c r="Y67" s="443">
        <f>Y20/'Deuda GNC'!Y$110*100</f>
        <v>2.3330188705177202</v>
      </c>
      <c r="Z67" s="444">
        <f>Z20/'Deuda GNC'!Z$110*100</f>
        <v>0</v>
      </c>
      <c r="AA67" s="55">
        <f>AA20/'Deuda GNC'!AA$110*100</f>
        <v>0</v>
      </c>
      <c r="AB67" s="55">
        <f>AB20/'Deuda GNC'!AB$110*100</f>
        <v>0</v>
      </c>
      <c r="AC67" s="55">
        <f>AC20/'Deuda GNC'!AC$110*100</f>
        <v>0</v>
      </c>
      <c r="AD67" s="55">
        <f>AD20/'Deuda GNC'!AD$110*100</f>
        <v>0</v>
      </c>
      <c r="AE67" s="55">
        <f>AE20/'Deuda GNC'!AE$110*100</f>
        <v>0</v>
      </c>
      <c r="AF67" s="55">
        <f>AF20/'Deuda GNC'!AF$110*100</f>
        <v>0</v>
      </c>
      <c r="AG67" s="55">
        <f>AG20/'Deuda GNC'!AG$110*100</f>
        <v>0</v>
      </c>
      <c r="AH67" s="55">
        <f>AH20/'Deuda GNC'!AH$110*100</f>
        <v>0</v>
      </c>
      <c r="AI67" s="55">
        <f>AI20/'Deuda GNC'!AI$110*100</f>
        <v>0</v>
      </c>
      <c r="AJ67" s="55">
        <f>AJ20/'Deuda GNC'!AJ$110*100</f>
        <v>0</v>
      </c>
      <c r="AK67" s="55">
        <f>AK20/'Deuda GNC'!AK$110*100</f>
        <v>0</v>
      </c>
      <c r="AL67" s="55">
        <f>AL20/'Deuda GNC'!AL$110*100</f>
        <v>0</v>
      </c>
      <c r="AM67" s="413"/>
      <c r="AN67" s="413"/>
      <c r="AO67" s="413"/>
      <c r="AP67" s="413"/>
      <c r="AQ67" s="413"/>
      <c r="AR67" s="413"/>
      <c r="AS67" s="413"/>
      <c r="AT67" s="413"/>
    </row>
    <row r="68" spans="1:52">
      <c r="A68" s="432" t="s">
        <v>272</v>
      </c>
      <c r="B68" s="443">
        <f>B21/'Deuda GNC'!B$110*100</f>
        <v>0.92981529377774119</v>
      </c>
      <c r="C68" s="443">
        <f>C21/'Deuda GNC'!C$110*100</f>
        <v>0.71796260286523939</v>
      </c>
      <c r="D68" s="443">
        <f>D21/'Deuda GNC'!D$110*100</f>
        <v>1.8663132515100722</v>
      </c>
      <c r="E68" s="443">
        <f>E21/'Deuda GNC'!E$110*100</f>
        <v>0.44051772893363905</v>
      </c>
      <c r="F68" s="443">
        <f>F21/'Deuda GNC'!F$110*100</f>
        <v>0.64810356016628612</v>
      </c>
      <c r="G68" s="443">
        <f>G21/'Deuda GNC'!G$110*100</f>
        <v>0.8795956313289931</v>
      </c>
      <c r="H68" s="443">
        <f>H21/'Deuda GNC'!H$110*100</f>
        <v>0.93072750778053615</v>
      </c>
      <c r="I68" s="443">
        <f>I21/'Deuda GNC'!I$110*100</f>
        <v>1.1558945183771765</v>
      </c>
      <c r="J68" s="443">
        <f>J21/'Deuda GNC'!J$110*100</f>
        <v>0.21862241686862643</v>
      </c>
      <c r="K68" s="443">
        <f>K21/'Deuda GNC'!K$110*100</f>
        <v>0.27362974710891536</v>
      </c>
      <c r="L68" s="443">
        <f>L21/'Deuda GNC'!L$110*100</f>
        <v>0.9844438091830473</v>
      </c>
      <c r="M68" s="443">
        <f>M21/'Deuda GNC'!M$110*100</f>
        <v>0.47675204302781377</v>
      </c>
      <c r="N68" s="443">
        <f>N21/'Deuda GNC'!N$110*100</f>
        <v>0.47863988978797306</v>
      </c>
      <c r="O68" s="443">
        <f>O21/'Deuda GNC'!O$110*100</f>
        <v>0.16048598801959563</v>
      </c>
      <c r="P68" s="443">
        <f>P21/'Deuda GNC'!P$110*100</f>
        <v>0.3044625565700958</v>
      </c>
      <c r="Q68" s="443">
        <f>Q21/'Deuda GNC'!Q$110*100</f>
        <v>0.32063801585900231</v>
      </c>
      <c r="R68" s="443">
        <f>R21/'Deuda GNC'!R$110*100</f>
        <v>0.69259120557359555</v>
      </c>
      <c r="S68" s="443">
        <f>S21/'Deuda GNC'!S$110*100</f>
        <v>0.97930628683495313</v>
      </c>
      <c r="T68" s="443">
        <f>T21/'Deuda GNC'!T$110*100</f>
        <v>0.82900201407785423</v>
      </c>
      <c r="U68" s="443">
        <f>U21/'Deuda GNC'!U$110*100</f>
        <v>0.90929484288624007</v>
      </c>
      <c r="V68" s="443">
        <f>V21/'Deuda GNC'!V$110*100</f>
        <v>0.62947867036171512</v>
      </c>
      <c r="W68" s="443">
        <f>W21/'Deuda GNC'!W$110*100</f>
        <v>1.4456261120584935</v>
      </c>
      <c r="X68" s="443">
        <f>X21/'Deuda GNC'!X$110*100</f>
        <v>0.60183906049102232</v>
      </c>
      <c r="Y68" s="443">
        <f>Y21/'Deuda GNC'!Y$110*100</f>
        <v>0.86334380217508599</v>
      </c>
      <c r="Z68" s="444">
        <f>Z21/'Deuda GNC'!Z$110*100</f>
        <v>0</v>
      </c>
      <c r="AA68" s="55">
        <f>AA21/'Deuda GNC'!AA$110*100</f>
        <v>0</v>
      </c>
      <c r="AB68" s="55">
        <f>AB21/'Deuda GNC'!AB$110*100</f>
        <v>0</v>
      </c>
      <c r="AC68" s="55">
        <f>AC21/'Deuda GNC'!AC$110*100</f>
        <v>0</v>
      </c>
      <c r="AD68" s="55">
        <f>AD21/'Deuda GNC'!AD$110*100</f>
        <v>0</v>
      </c>
      <c r="AE68" s="55">
        <f>AE21/'Deuda GNC'!AE$110*100</f>
        <v>0</v>
      </c>
      <c r="AF68" s="55">
        <f>AF21/'Deuda GNC'!AF$110*100</f>
        <v>0</v>
      </c>
      <c r="AG68" s="55">
        <f>AG21/'Deuda GNC'!AG$110*100</f>
        <v>0</v>
      </c>
      <c r="AH68" s="55">
        <f>AH21/'Deuda GNC'!AH$110*100</f>
        <v>0</v>
      </c>
      <c r="AI68" s="55">
        <f>AI21/'Deuda GNC'!AI$110*100</f>
        <v>0</v>
      </c>
      <c r="AJ68" s="55">
        <f>AJ21/'Deuda GNC'!AJ$110*100</f>
        <v>0</v>
      </c>
      <c r="AK68" s="55">
        <f>AK21/'Deuda GNC'!AK$110*100</f>
        <v>0</v>
      </c>
      <c r="AL68" s="55">
        <f>AL21/'Deuda GNC'!AL$110*100</f>
        <v>0</v>
      </c>
      <c r="AM68" s="413"/>
      <c r="AN68" s="413"/>
      <c r="AO68" s="413"/>
      <c r="AP68" s="413"/>
      <c r="AQ68" s="413"/>
      <c r="AR68" s="413"/>
      <c r="AS68" s="413"/>
      <c r="AT68" s="413"/>
    </row>
    <row r="69" spans="1:52" s="175" customFormat="1">
      <c r="A69" s="439" t="s">
        <v>273</v>
      </c>
      <c r="B69" s="440">
        <f>B22/'Deuda GNC'!B$110*100</f>
        <v>32.944807867269041</v>
      </c>
      <c r="C69" s="440">
        <f>C22/'Deuda GNC'!C$110*100</f>
        <v>35.98155605490139</v>
      </c>
      <c r="D69" s="440">
        <f>D22/'Deuda GNC'!D$110*100</f>
        <v>38.88629656074297</v>
      </c>
      <c r="E69" s="440">
        <f>E22/'Deuda GNC'!E$110*100</f>
        <v>46.294708276224569</v>
      </c>
      <c r="F69" s="440">
        <f>F22/'Deuda GNC'!F$110*100</f>
        <v>45.180869434886056</v>
      </c>
      <c r="G69" s="440">
        <f>G22/'Deuda GNC'!G$110*100</f>
        <v>41.445830763016986</v>
      </c>
      <c r="H69" s="440">
        <f>H22/'Deuda GNC'!H$110*100</f>
        <v>40.442972646372297</v>
      </c>
      <c r="I69" s="440">
        <f>I22/'Deuda GNC'!I$110*100</f>
        <v>38.219613194059036</v>
      </c>
      <c r="J69" s="440">
        <f>J22/'Deuda GNC'!J$110*100</f>
        <v>35.747186483166885</v>
      </c>
      <c r="K69" s="440">
        <f>K22/'Deuda GNC'!K$110*100</f>
        <v>35.261129741147627</v>
      </c>
      <c r="L69" s="440">
        <f>L22/'Deuda GNC'!L$110*100</f>
        <v>36.547016016680772</v>
      </c>
      <c r="M69" s="440">
        <f>M22/'Deuda GNC'!M$110*100</f>
        <v>36.993106602636708</v>
      </c>
      <c r="N69" s="440">
        <f>N22/'Deuda GNC'!N$110*100</f>
        <v>34.395149424615958</v>
      </c>
      <c r="O69" s="440">
        <f>O22/'Deuda GNC'!O$110*100</f>
        <v>33.168283941417471</v>
      </c>
      <c r="P69" s="440">
        <f>P22/'Deuda GNC'!P$110*100</f>
        <v>34.187573474715059</v>
      </c>
      <c r="Q69" s="440">
        <f>Q22/'Deuda GNC'!Q$110*100</f>
        <v>36.708884959593632</v>
      </c>
      <c r="R69" s="440">
        <f>R22/'Deuda GNC'!R$110*100</f>
        <v>41.772369287938936</v>
      </c>
      <c r="S69" s="440">
        <f>S22/'Deuda GNC'!S$110*100</f>
        <v>43.167005002586293</v>
      </c>
      <c r="T69" s="440">
        <f>T22/'Deuda GNC'!T$110*100</f>
        <v>43.7855415671456</v>
      </c>
      <c r="U69" s="440">
        <f>U22/'Deuda GNC'!U$110*100</f>
        <v>46.343712836609299</v>
      </c>
      <c r="V69" s="440">
        <f>V22/'Deuda GNC'!V$110*100</f>
        <v>48.389314842038736</v>
      </c>
      <c r="W69" s="440">
        <f>W22/'Deuda GNC'!W$110*100</f>
        <v>60.701422536015329</v>
      </c>
      <c r="X69" s="440">
        <f>X22/'Deuda GNC'!X$110*100</f>
        <v>60.055094550312738</v>
      </c>
      <c r="Y69" s="440">
        <f>Y22/'Deuda GNC'!Y$110*100</f>
        <v>57.943457330808265</v>
      </c>
      <c r="Z69" s="441">
        <f>Z22/'Deuda GNC'!Z$110*100</f>
        <v>56.718977359962643</v>
      </c>
      <c r="AA69" s="442" t="e">
        <f>AA22/'Deuda GNC'!AA$110*100</f>
        <v>#DIV/0!</v>
      </c>
      <c r="AB69" s="442" t="e">
        <f>AB22/'Deuda GNC'!AB$110*100</f>
        <v>#DIV/0!</v>
      </c>
      <c r="AC69" s="442" t="e">
        <f>AC22/'Deuda GNC'!AC$110*100</f>
        <v>#DIV/0!</v>
      </c>
      <c r="AD69" s="442" t="e">
        <f>AD22/'Deuda GNC'!AD$110*100</f>
        <v>#DIV/0!</v>
      </c>
      <c r="AE69" s="442" t="e">
        <f>AE22/'Deuda GNC'!AE$110*100</f>
        <v>#DIV/0!</v>
      </c>
      <c r="AF69" s="442" t="e">
        <f>AF22/'Deuda GNC'!AF$110*100</f>
        <v>#DIV/0!</v>
      </c>
      <c r="AG69" s="442" t="e">
        <f>AG22/'Deuda GNC'!AG$110*100</f>
        <v>#DIV/0!</v>
      </c>
      <c r="AH69" s="442" t="e">
        <f>AH22/'Deuda GNC'!AH$110*100</f>
        <v>#DIV/0!</v>
      </c>
      <c r="AI69" s="442" t="e">
        <f>AI22/'Deuda GNC'!AI$110*100</f>
        <v>#DIV/0!</v>
      </c>
      <c r="AJ69" s="442" t="e">
        <f>AJ22/'Deuda GNC'!AJ$110*100</f>
        <v>#DIV/0!</v>
      </c>
      <c r="AK69" s="442" t="e">
        <f>AK22/'Deuda GNC'!AK$110*100</f>
        <v>#DIV/0!</v>
      </c>
      <c r="AL69" s="442" t="e">
        <f>AL22/'Deuda GNC'!AL$110*100</f>
        <v>#DIV/0!</v>
      </c>
      <c r="AM69" s="423"/>
      <c r="AN69" s="423"/>
      <c r="AO69" s="423"/>
      <c r="AP69" s="423"/>
      <c r="AQ69" s="423"/>
      <c r="AR69" s="423"/>
      <c r="AS69" s="423"/>
    </row>
    <row r="70" spans="1:52">
      <c r="A70" s="428" t="s">
        <v>274</v>
      </c>
      <c r="B70" s="429">
        <f>B23/'Deuda GNC'!B$110*100</f>
        <v>29.907044788846022</v>
      </c>
      <c r="C70" s="429">
        <f>C23/'Deuda GNC'!C$110*100</f>
        <v>33.956479061930935</v>
      </c>
      <c r="D70" s="429">
        <f>D23/'Deuda GNC'!D$110*100</f>
        <v>37.426399375720884</v>
      </c>
      <c r="E70" s="429">
        <f>E23/'Deuda GNC'!E$110*100</f>
        <v>44.567169951402427</v>
      </c>
      <c r="F70" s="429">
        <f>F23/'Deuda GNC'!F$110*100</f>
        <v>43.989199229917617</v>
      </c>
      <c r="G70" s="429">
        <f>G23/'Deuda GNC'!G$110*100</f>
        <v>39.82944977883875</v>
      </c>
      <c r="H70" s="429">
        <f>H23/'Deuda GNC'!H$110*100</f>
        <v>39.158381942045139</v>
      </c>
      <c r="I70" s="429">
        <f>I23/'Deuda GNC'!I$110*100</f>
        <v>36.999469005562716</v>
      </c>
      <c r="J70" s="429">
        <f>J23/'Deuda GNC'!J$110*100</f>
        <v>35.061412593484654</v>
      </c>
      <c r="K70" s="429">
        <f>K23/'Deuda GNC'!K$110*100</f>
        <v>34.565813217109927</v>
      </c>
      <c r="L70" s="429">
        <f>L23/'Deuda GNC'!L$110*100</f>
        <v>35.593427200762818</v>
      </c>
      <c r="M70" s="429">
        <f>M23/'Deuda GNC'!M$110*100</f>
        <v>35.838051541705333</v>
      </c>
      <c r="N70" s="429">
        <f>N23/'Deuda GNC'!N$110*100</f>
        <v>32.79279308285691</v>
      </c>
      <c r="O70" s="429">
        <f>O23/'Deuda GNC'!O$110*100</f>
        <v>31.421290300055354</v>
      </c>
      <c r="P70" s="429">
        <f>P23/'Deuda GNC'!P$110*100</f>
        <v>32.46176171966296</v>
      </c>
      <c r="Q70" s="429">
        <f>Q23/'Deuda GNC'!Q$110*100</f>
        <v>35.365193457176886</v>
      </c>
      <c r="R70" s="429">
        <f>R23/'Deuda GNC'!R$110*100</f>
        <v>40.787135563589985</v>
      </c>
      <c r="S70" s="429">
        <f>S23/'Deuda GNC'!S$110*100</f>
        <v>42.520758160683975</v>
      </c>
      <c r="T70" s="429">
        <f>T23/'Deuda GNC'!T$110*100</f>
        <v>43.372262608382265</v>
      </c>
      <c r="U70" s="429">
        <f>U23/'Deuda GNC'!U$110*100</f>
        <v>46.259012318115751</v>
      </c>
      <c r="V70" s="429">
        <f>V23/'Deuda GNC'!V$110*100</f>
        <v>46.684563798090508</v>
      </c>
      <c r="W70" s="429">
        <f>W23/'Deuda GNC'!W$110*100</f>
        <v>59.123729407808604</v>
      </c>
      <c r="X70" s="429">
        <f>X23/'Deuda GNC'!X$110*100</f>
        <v>59.010853198128558</v>
      </c>
      <c r="Y70" s="429">
        <f>Y23/'Deuda GNC'!Y$110*100</f>
        <v>57.652052619608639</v>
      </c>
      <c r="Z70" s="430">
        <f>Z23/'Deuda GNC'!Z$110*100</f>
        <v>56.500978853916884</v>
      </c>
      <c r="AA70" s="431" t="e">
        <f>AA23/'Deuda GNC'!AA$110*100</f>
        <v>#DIV/0!</v>
      </c>
      <c r="AB70" s="431" t="e">
        <f>AB23/'Deuda GNC'!AB$110*100</f>
        <v>#DIV/0!</v>
      </c>
      <c r="AC70" s="431" t="e">
        <f>AC23/'Deuda GNC'!AC$110*100</f>
        <v>#DIV/0!</v>
      </c>
      <c r="AD70" s="431" t="e">
        <f>AD23/'Deuda GNC'!AD$110*100</f>
        <v>#DIV/0!</v>
      </c>
      <c r="AE70" s="431" t="e">
        <f>AE23/'Deuda GNC'!AE$110*100</f>
        <v>#DIV/0!</v>
      </c>
      <c r="AF70" s="431" t="e">
        <f>AF23/'Deuda GNC'!AF$110*100</f>
        <v>#DIV/0!</v>
      </c>
      <c r="AG70" s="431" t="e">
        <f>AG23/'Deuda GNC'!AG$110*100</f>
        <v>#DIV/0!</v>
      </c>
      <c r="AH70" s="431" t="e">
        <f>AH23/'Deuda GNC'!AH$110*100</f>
        <v>#DIV/0!</v>
      </c>
      <c r="AI70" s="431" t="e">
        <f>AI23/'Deuda GNC'!AI$110*100</f>
        <v>#DIV/0!</v>
      </c>
      <c r="AJ70" s="431" t="e">
        <f>AJ23/'Deuda GNC'!AJ$110*100</f>
        <v>#DIV/0!</v>
      </c>
      <c r="AK70" s="431" t="e">
        <f>AK23/'Deuda GNC'!AK$110*100</f>
        <v>#DIV/0!</v>
      </c>
      <c r="AL70" s="431" t="e">
        <f>AL23/'Deuda GNC'!AL$110*100</f>
        <v>#DIV/0!</v>
      </c>
      <c r="AM70" s="423"/>
      <c r="AN70" s="423"/>
      <c r="AO70" s="423"/>
      <c r="AP70" s="423"/>
      <c r="AQ70" s="423"/>
      <c r="AR70" s="423"/>
      <c r="AS70" s="423"/>
    </row>
    <row r="71" spans="1:52">
      <c r="A71" s="432" t="s">
        <v>276</v>
      </c>
      <c r="B71" s="433">
        <f>B25/'Deuda GNC'!B$110*100</f>
        <v>18.935565586753082</v>
      </c>
      <c r="C71" s="433">
        <f>C25/'Deuda GNC'!C$110*100</f>
        <v>20.792511049887729</v>
      </c>
      <c r="D71" s="433">
        <f>D25/'Deuda GNC'!D$110*100</f>
        <v>21.69778702162526</v>
      </c>
      <c r="E71" s="433">
        <f>E25/'Deuda GNC'!E$110*100</f>
        <v>25.019090765696312</v>
      </c>
      <c r="F71" s="433">
        <f>F25/'Deuda GNC'!F$110*100</f>
        <v>24.642275114724697</v>
      </c>
      <c r="G71" s="433">
        <f>G25/'Deuda GNC'!G$110*100</f>
        <v>24.688262973523194</v>
      </c>
      <c r="H71" s="433">
        <f>H25/'Deuda GNC'!H$110*100</f>
        <v>27.281511230694399</v>
      </c>
      <c r="I71" s="433">
        <f>I25/'Deuda GNC'!I$110*100</f>
        <v>25.588178220707647</v>
      </c>
      <c r="J71" s="433">
        <f>J25/'Deuda GNC'!J$110*100</f>
        <v>24.845123933978254</v>
      </c>
      <c r="K71" s="433">
        <f>K25/'Deuda GNC'!K$110*100</f>
        <v>24.078962486639877</v>
      </c>
      <c r="L71" s="433">
        <f>L25/'Deuda GNC'!L$110*100</f>
        <v>25.6300410696639</v>
      </c>
      <c r="M71" s="433">
        <f>M25/'Deuda GNC'!M$110*100</f>
        <v>26.569212594698637</v>
      </c>
      <c r="N71" s="433">
        <f>N25/'Deuda GNC'!N$110*100</f>
        <v>24.538100375393331</v>
      </c>
      <c r="O71" s="433">
        <f>O25/'Deuda GNC'!O$110*100</f>
        <v>24.398754999474995</v>
      </c>
      <c r="P71" s="433">
        <f>P25/'Deuda GNC'!P$110*100</f>
        <v>24.86875956288829</v>
      </c>
      <c r="Q71" s="433">
        <f>Q25/'Deuda GNC'!Q$110*100</f>
        <v>25.262990139287815</v>
      </c>
      <c r="R71" s="433">
        <f>R25/'Deuda GNC'!R$110*100</f>
        <v>26.360604589432612</v>
      </c>
      <c r="S71" s="433">
        <f>S25/'Deuda GNC'!S$110*100</f>
        <v>28.625058541699467</v>
      </c>
      <c r="T71" s="433">
        <f>T25/'Deuda GNC'!T$110*100</f>
        <v>29.127676048746498</v>
      </c>
      <c r="U71" s="433">
        <f>U25/'Deuda GNC'!U$110*100</f>
        <v>30.641158898012783</v>
      </c>
      <c r="V71" s="433">
        <f>V25/'Deuda GNC'!V$110*100</f>
        <v>33.028538758320643</v>
      </c>
      <c r="W71" s="433">
        <f>W25/'Deuda GNC'!W$110*100</f>
        <v>39.120462662588132</v>
      </c>
      <c r="X71" s="433">
        <f>X25/'Deuda GNC'!X$110*100</f>
        <v>36.138214769784717</v>
      </c>
      <c r="Y71" s="433">
        <f>Y25/'Deuda GNC'!Y$110*100</f>
        <v>33.817764134673709</v>
      </c>
      <c r="Z71" s="434">
        <f>Z25/'Deuda GNC'!Z$110*100</f>
        <v>37.213996647190505</v>
      </c>
      <c r="AA71" s="55">
        <f>AA25/'Deuda GNC'!AA$110*100</f>
        <v>32.369208215969167</v>
      </c>
      <c r="AB71" s="55" t="e">
        <f>AB25/'Deuda GNC'!AB$110*100</f>
        <v>#DIV/0!</v>
      </c>
      <c r="AC71" s="55" t="e">
        <f>AC25/'Deuda GNC'!AC$110*100</f>
        <v>#DIV/0!</v>
      </c>
      <c r="AD71" s="55" t="e">
        <f>AD25/'Deuda GNC'!AD$110*100</f>
        <v>#DIV/0!</v>
      </c>
      <c r="AE71" s="55" t="e">
        <f>AE25/'Deuda GNC'!AE$110*100</f>
        <v>#DIV/0!</v>
      </c>
      <c r="AF71" s="55" t="e">
        <f>AF25/'Deuda GNC'!AF$110*100</f>
        <v>#DIV/0!</v>
      </c>
      <c r="AG71" s="55" t="e">
        <f>AG25/'Deuda GNC'!AG$110*100</f>
        <v>#DIV/0!</v>
      </c>
      <c r="AH71" s="55" t="e">
        <f>AH25/'Deuda GNC'!AH$110*100</f>
        <v>#DIV/0!</v>
      </c>
      <c r="AI71" s="55" t="e">
        <f>AI25/'Deuda GNC'!AI$110*100</f>
        <v>#DIV/0!</v>
      </c>
      <c r="AJ71" s="55" t="e">
        <f>AJ25/'Deuda GNC'!AJ$110*100</f>
        <v>#DIV/0!</v>
      </c>
      <c r="AK71" s="55" t="e">
        <f>AK25/'Deuda GNC'!AK$110*100</f>
        <v>#DIV/0!</v>
      </c>
      <c r="AL71" s="55" t="e">
        <f>AL25/'Deuda GNC'!AL$110*100</f>
        <v>#DIV/0!</v>
      </c>
      <c r="AM71" s="423"/>
      <c r="AN71" s="423"/>
      <c r="AO71" s="423"/>
      <c r="AP71" s="423"/>
      <c r="AQ71" s="423"/>
      <c r="AR71" s="423"/>
      <c r="AS71" s="423"/>
    </row>
    <row r="72" spans="1:52" s="133" customFormat="1">
      <c r="A72" s="445" t="s">
        <v>275</v>
      </c>
      <c r="B72" s="436">
        <f>B24/'Deuda GNC'!B$110*100</f>
        <v>15.897802508330065</v>
      </c>
      <c r="C72" s="436">
        <f>C24/'Deuda GNC'!C$110*100</f>
        <v>18.767434056917271</v>
      </c>
      <c r="D72" s="436">
        <f>D24/'Deuda GNC'!D$110*100</f>
        <v>20.23788983660317</v>
      </c>
      <c r="E72" s="436">
        <f>E24/'Deuda GNC'!E$110*100</f>
        <v>23.29155244087417</v>
      </c>
      <c r="F72" s="436">
        <f>F24/'Deuda GNC'!F$110*100</f>
        <v>23.450604909756258</v>
      </c>
      <c r="G72" s="436">
        <f>G24/'Deuda GNC'!G$110*100</f>
        <v>23.071881989344966</v>
      </c>
      <c r="H72" s="436">
        <f>H24/'Deuda GNC'!H$110*100</f>
        <v>25.996920526367241</v>
      </c>
      <c r="I72" s="436">
        <f>I24/'Deuda GNC'!I$110*100</f>
        <v>24.368034032211323</v>
      </c>
      <c r="J72" s="436">
        <f>J24/'Deuda GNC'!J$110*100</f>
        <v>24.159350044296023</v>
      </c>
      <c r="K72" s="436">
        <f>K24/'Deuda GNC'!K$110*100</f>
        <v>23.383645962602174</v>
      </c>
      <c r="L72" s="436">
        <f>L24/'Deuda GNC'!L$110*100</f>
        <v>24.676452253745943</v>
      </c>
      <c r="M72" s="436">
        <f>M24/'Deuda GNC'!M$110*100</f>
        <v>25.414157533767266</v>
      </c>
      <c r="N72" s="436">
        <f>N24/'Deuda GNC'!N$110*100</f>
        <v>22.935744033634283</v>
      </c>
      <c r="O72" s="436">
        <f>O24/'Deuda GNC'!O$110*100</f>
        <v>22.651761358112882</v>
      </c>
      <c r="P72" s="436">
        <f>P24/'Deuda GNC'!P$110*100</f>
        <v>23.14294780783619</v>
      </c>
      <c r="Q72" s="436">
        <f>Q24/'Deuda GNC'!Q$110*100</f>
        <v>23.919298636871059</v>
      </c>
      <c r="R72" s="436">
        <f>R24/'Deuda GNC'!R$110*100</f>
        <v>25.375370865083656</v>
      </c>
      <c r="S72" s="436">
        <f>S24/'Deuda GNC'!S$110*100</f>
        <v>27.978811699797145</v>
      </c>
      <c r="T72" s="436">
        <f>T24/'Deuda GNC'!T$110*100</f>
        <v>28.714397089983159</v>
      </c>
      <c r="U72" s="436">
        <f>U24/'Deuda GNC'!U$110*100</f>
        <v>30.556458379519235</v>
      </c>
      <c r="V72" s="436">
        <f>V24/'Deuda GNC'!V$110*100</f>
        <v>31.323787714372415</v>
      </c>
      <c r="W72" s="436">
        <f>W24/'Deuda GNC'!W$110*100</f>
        <v>37.542769534381399</v>
      </c>
      <c r="X72" s="436">
        <f>X24/'Deuda GNC'!X$110*100</f>
        <v>35.093973417600537</v>
      </c>
      <c r="Y72" s="436">
        <f>Y24/'Deuda GNC'!Y$110*100</f>
        <v>33.526359423474084</v>
      </c>
      <c r="Z72" s="437">
        <f>Z24/'Deuda GNC'!Z$110*100</f>
        <v>36.995998141144746</v>
      </c>
      <c r="AA72" s="438">
        <f>AA24/'Deuda GNC'!AA$110*100</f>
        <v>32.369208215969167</v>
      </c>
      <c r="AB72" s="438" t="e">
        <f>AB24/'Deuda GNC'!AB$110*100</f>
        <v>#DIV/0!</v>
      </c>
      <c r="AC72" s="438" t="e">
        <f>AC24/'Deuda GNC'!AC$110*100</f>
        <v>#DIV/0!</v>
      </c>
      <c r="AD72" s="438" t="e">
        <f>AD24/'Deuda GNC'!AD$110*100</f>
        <v>#DIV/0!</v>
      </c>
      <c r="AE72" s="438" t="e">
        <f>AE24/'Deuda GNC'!AE$110*100</f>
        <v>#DIV/0!</v>
      </c>
      <c r="AF72" s="438" t="e">
        <f>AF24/'Deuda GNC'!AF$110*100</f>
        <v>#DIV/0!</v>
      </c>
      <c r="AG72" s="438" t="e">
        <f>AG24/'Deuda GNC'!AG$110*100</f>
        <v>#DIV/0!</v>
      </c>
      <c r="AH72" s="438" t="e">
        <f>AH24/'Deuda GNC'!AH$110*100</f>
        <v>#DIV/0!</v>
      </c>
      <c r="AI72" s="438" t="e">
        <f>AI24/'Deuda GNC'!AI$110*100</f>
        <v>#DIV/0!</v>
      </c>
      <c r="AJ72" s="438" t="e">
        <f>AJ24/'Deuda GNC'!AJ$110*100</f>
        <v>#DIV/0!</v>
      </c>
      <c r="AK72" s="438" t="e">
        <f>AK24/'Deuda GNC'!AK$110*100</f>
        <v>#DIV/0!</v>
      </c>
      <c r="AL72" s="438" t="e">
        <f>AL24/'Deuda GNC'!AL$110*100</f>
        <v>#DIV/0!</v>
      </c>
      <c r="AM72" s="423"/>
      <c r="AN72" s="423"/>
      <c r="AO72" s="423"/>
      <c r="AP72" s="423"/>
      <c r="AQ72" s="423"/>
      <c r="AR72" s="423"/>
      <c r="AS72" s="423"/>
    </row>
    <row r="73" spans="1:52">
      <c r="A73" s="446" t="s">
        <v>277</v>
      </c>
      <c r="B73" s="447">
        <f>B26/'Deuda GNC'!B$110*100</f>
        <v>14.009242280515959</v>
      </c>
      <c r="C73" s="447">
        <f>C26/'Deuda GNC'!C$110*100</f>
        <v>15.189045005013663</v>
      </c>
      <c r="D73" s="447">
        <f>D26/'Deuda GNC'!D$110*100</f>
        <v>17.18850953911771</v>
      </c>
      <c r="E73" s="447">
        <f>E26/'Deuda GNC'!E$110*100</f>
        <v>21.275617510528257</v>
      </c>
      <c r="F73" s="447">
        <f>F26/'Deuda GNC'!F$110*100</f>
        <v>20.538594320161359</v>
      </c>
      <c r="G73" s="447">
        <f>G26/'Deuda GNC'!G$110*100</f>
        <v>16.757567789493784</v>
      </c>
      <c r="H73" s="447">
        <f>H26/'Deuda GNC'!H$110*100</f>
        <v>13.161461415677897</v>
      </c>
      <c r="I73" s="447">
        <f>I26/'Deuda GNC'!I$110*100</f>
        <v>12.631434973351388</v>
      </c>
      <c r="J73" s="447">
        <f>J26/'Deuda GNC'!J$110*100</f>
        <v>10.902062549188628</v>
      </c>
      <c r="K73" s="447">
        <f>K26/'Deuda GNC'!K$110*100</f>
        <v>11.182167254507753</v>
      </c>
      <c r="L73" s="447">
        <f>L26/'Deuda GNC'!L$110*100</f>
        <v>10.916974947016875</v>
      </c>
      <c r="M73" s="447">
        <f>M26/'Deuda GNC'!M$110*100</f>
        <v>10.423894007938069</v>
      </c>
      <c r="N73" s="447">
        <f>N26/'Deuda GNC'!N$110*100</f>
        <v>9.8570490492226295</v>
      </c>
      <c r="O73" s="447">
        <f>O26/'Deuda GNC'!O$110*100</f>
        <v>8.76952894194247</v>
      </c>
      <c r="P73" s="447">
        <f>P26/'Deuda GNC'!P$110*100</f>
        <v>9.318813911826771</v>
      </c>
      <c r="Q73" s="447">
        <f>Q26/'Deuda GNC'!Q$110*100</f>
        <v>11.445894820305821</v>
      </c>
      <c r="R73" s="447">
        <f>R26/'Deuda GNC'!R$110*100</f>
        <v>15.411764698506328</v>
      </c>
      <c r="S73" s="447">
        <f>S26/'Deuda GNC'!S$110*100</f>
        <v>14.541946460886832</v>
      </c>
      <c r="T73" s="447">
        <f>T26/'Deuda GNC'!T$110*100</f>
        <v>14.657865518399102</v>
      </c>
      <c r="U73" s="447">
        <f>U26/'Deuda GNC'!U$110*100</f>
        <v>15.702553938596514</v>
      </c>
      <c r="V73" s="447">
        <f>V26/'Deuda GNC'!V$110*100</f>
        <v>15.360776083718095</v>
      </c>
      <c r="W73" s="447">
        <f>W26/'Deuda GNC'!W$110*100</f>
        <v>21.580959873427201</v>
      </c>
      <c r="X73" s="447">
        <f>X26/'Deuda GNC'!X$110*100</f>
        <v>23.916879780528017</v>
      </c>
      <c r="Y73" s="447">
        <f>Y26/'Deuda GNC'!Y$110*100</f>
        <v>24.125693196134556</v>
      </c>
      <c r="Z73" s="448">
        <f>Z26/'Deuda GNC'!Z$110*100</f>
        <v>19.504980712772134</v>
      </c>
      <c r="AA73" s="449" t="e">
        <f>AA26/'Deuda GNC'!AA$110*100</f>
        <v>#DIV/0!</v>
      </c>
      <c r="AB73" s="449" t="e">
        <f>AB26/'Deuda GNC'!AB$110*100</f>
        <v>#DIV/0!</v>
      </c>
      <c r="AC73" s="449" t="e">
        <f>AC26/'Deuda GNC'!AC$110*100</f>
        <v>#DIV/0!</v>
      </c>
      <c r="AD73" s="450" t="e">
        <f>AD26/'Deuda GNC'!AD$110*100</f>
        <v>#DIV/0!</v>
      </c>
      <c r="AE73" s="449" t="e">
        <f>AE26/'Deuda GNC'!AE$110*100</f>
        <v>#DIV/0!</v>
      </c>
      <c r="AF73" s="449" t="e">
        <f>AF26/'Deuda GNC'!AF$110*100</f>
        <v>#DIV/0!</v>
      </c>
      <c r="AG73" s="449" t="e">
        <f>AG26/'Deuda GNC'!AG$110*100</f>
        <v>#DIV/0!</v>
      </c>
      <c r="AH73" s="449" t="e">
        <f>AH26/'Deuda GNC'!AH$110*100</f>
        <v>#DIV/0!</v>
      </c>
      <c r="AI73" s="449" t="e">
        <f>AI26/'Deuda GNC'!AI$110*100</f>
        <v>#DIV/0!</v>
      </c>
      <c r="AJ73" s="449" t="e">
        <f>AJ26/'Deuda GNC'!AJ$110*100</f>
        <v>#DIV/0!</v>
      </c>
      <c r="AK73" s="449" t="e">
        <f>AK26/'Deuda GNC'!AK$110*100</f>
        <v>#DIV/0!</v>
      </c>
      <c r="AL73" s="449" t="e">
        <f>AL26/'Deuda GNC'!AL$110*100</f>
        <v>#DIV/0!</v>
      </c>
      <c r="AM73" s="423"/>
      <c r="AN73" s="423"/>
      <c r="AO73" s="423"/>
      <c r="AP73" s="423"/>
      <c r="AQ73" s="423"/>
      <c r="AR73" s="423"/>
      <c r="AS73" s="423"/>
    </row>
    <row r="74" spans="1:52">
      <c r="A74" s="2" t="s">
        <v>292</v>
      </c>
      <c r="P74" s="55"/>
      <c r="Q74" s="55"/>
      <c r="R74" s="55"/>
      <c r="S74" s="55"/>
      <c r="W74" s="55"/>
      <c r="X74" s="55"/>
      <c r="Y74" s="55"/>
      <c r="Z74" s="55"/>
      <c r="AB74" s="55"/>
      <c r="AM74" s="423"/>
      <c r="AN74" s="423"/>
      <c r="AO74" s="423"/>
      <c r="AP74" s="423"/>
      <c r="AQ74" s="423"/>
      <c r="AR74" s="423"/>
      <c r="AS74" s="423"/>
    </row>
    <row r="75" spans="1:52">
      <c r="A75" s="2" t="s">
        <v>293</v>
      </c>
      <c r="B75" s="451"/>
      <c r="C75" s="451"/>
      <c r="D75" s="451"/>
      <c r="E75" s="451"/>
      <c r="F75" s="451"/>
      <c r="G75" s="451"/>
      <c r="H75" s="451"/>
      <c r="I75" s="451"/>
      <c r="J75" s="451"/>
      <c r="K75" s="451"/>
      <c r="L75" s="451"/>
      <c r="M75" s="451"/>
      <c r="N75" s="451"/>
      <c r="O75" s="451"/>
      <c r="P75" s="451"/>
      <c r="Q75" s="451"/>
      <c r="R75" s="451"/>
      <c r="S75" s="451"/>
      <c r="T75" s="451"/>
      <c r="U75" s="451"/>
      <c r="V75" s="451"/>
      <c r="W75" s="451"/>
      <c r="X75" s="451"/>
      <c r="Y75" s="451"/>
      <c r="Z75" s="451"/>
      <c r="AA75" s="452"/>
      <c r="AB75" s="452"/>
      <c r="AC75" s="452"/>
      <c r="AD75" s="452"/>
      <c r="AE75" s="452"/>
      <c r="AF75" s="452"/>
      <c r="AG75" s="452"/>
      <c r="AH75" s="452"/>
      <c r="AI75" s="452"/>
      <c r="AJ75" s="452"/>
      <c r="AK75" s="452"/>
      <c r="AL75" s="452"/>
      <c r="AM75" s="423"/>
      <c r="AN75" s="423"/>
      <c r="AO75" s="423"/>
      <c r="AP75" s="423"/>
      <c r="AQ75" s="423"/>
      <c r="AR75" s="423"/>
      <c r="AS75" s="423"/>
      <c r="AT75" s="423"/>
    </row>
    <row r="76" spans="1:52">
      <c r="B76" s="451"/>
      <c r="C76" s="451"/>
      <c r="D76" s="451"/>
      <c r="E76" s="451"/>
      <c r="F76" s="451"/>
      <c r="G76" s="451"/>
      <c r="H76" s="451"/>
      <c r="I76" s="451"/>
      <c r="J76" s="451"/>
      <c r="K76" s="451"/>
      <c r="L76" s="451"/>
      <c r="M76" s="451"/>
      <c r="N76" s="451"/>
      <c r="O76" s="451"/>
      <c r="P76" s="451"/>
      <c r="Q76" s="451"/>
      <c r="R76" s="451"/>
      <c r="S76" s="451"/>
      <c r="T76" s="451"/>
      <c r="U76" s="451"/>
      <c r="V76" s="451"/>
      <c r="W76" s="451"/>
      <c r="X76" s="451"/>
      <c r="Y76" s="451"/>
      <c r="Z76" s="451"/>
      <c r="AA76" s="41"/>
      <c r="AB76" s="41"/>
      <c r="AC76" s="41"/>
      <c r="AD76" s="41"/>
      <c r="AE76" s="41"/>
      <c r="AF76" s="41"/>
      <c r="AG76" s="41"/>
      <c r="AH76" s="41"/>
      <c r="AI76" s="41"/>
      <c r="AJ76" s="41"/>
      <c r="AK76" s="41"/>
      <c r="AL76" s="41"/>
      <c r="AM76" s="423"/>
      <c r="AN76" s="423"/>
      <c r="AO76" s="423"/>
      <c r="AP76" s="423"/>
      <c r="AQ76" s="423"/>
      <c r="AR76" s="423"/>
      <c r="AS76" s="423"/>
      <c r="AT76" s="423"/>
    </row>
    <row r="77" spans="1:52">
      <c r="A77" s="420" t="s">
        <v>33</v>
      </c>
      <c r="B77" s="421">
        <v>36525</v>
      </c>
      <c r="C77" s="421">
        <v>36891</v>
      </c>
      <c r="D77" s="421">
        <v>37256</v>
      </c>
      <c r="E77" s="421">
        <v>37621</v>
      </c>
      <c r="F77" s="421">
        <v>37986</v>
      </c>
      <c r="G77" s="421">
        <v>38352</v>
      </c>
      <c r="H77" s="421">
        <v>38717</v>
      </c>
      <c r="I77" s="421">
        <v>39082</v>
      </c>
      <c r="J77" s="421">
        <v>39447</v>
      </c>
      <c r="K77" s="421">
        <v>39813</v>
      </c>
      <c r="L77" s="421">
        <v>40178</v>
      </c>
      <c r="M77" s="421">
        <v>40543</v>
      </c>
      <c r="N77" s="421">
        <v>40908</v>
      </c>
      <c r="O77" s="421">
        <v>41274</v>
      </c>
      <c r="P77" s="421">
        <v>41639</v>
      </c>
      <c r="Q77" s="421">
        <v>42004</v>
      </c>
      <c r="R77" s="421">
        <v>42369</v>
      </c>
      <c r="S77" s="421">
        <v>42735</v>
      </c>
      <c r="T77" s="421">
        <v>43100</v>
      </c>
      <c r="U77" s="421">
        <v>43465</v>
      </c>
      <c r="V77" s="421">
        <v>43830</v>
      </c>
      <c r="W77" s="421">
        <v>44196</v>
      </c>
      <c r="X77" s="421">
        <v>44561</v>
      </c>
      <c r="Y77" s="421">
        <v>44926</v>
      </c>
      <c r="Z77" s="422">
        <v>45291</v>
      </c>
      <c r="AA77" s="421">
        <v>45657</v>
      </c>
      <c r="AB77" s="421">
        <v>46022</v>
      </c>
      <c r="AC77" s="421">
        <v>46387</v>
      </c>
      <c r="AD77" s="421">
        <v>46752</v>
      </c>
      <c r="AE77" s="421">
        <v>47118</v>
      </c>
      <c r="AF77" s="421">
        <v>47483</v>
      </c>
      <c r="AG77" s="421">
        <v>47848</v>
      </c>
      <c r="AH77" s="421">
        <v>48213</v>
      </c>
      <c r="AI77" s="421">
        <v>48579</v>
      </c>
      <c r="AJ77" s="421">
        <v>48944</v>
      </c>
      <c r="AK77" s="421">
        <v>49309</v>
      </c>
      <c r="AL77" s="421">
        <v>49310</v>
      </c>
      <c r="AM77" s="378"/>
      <c r="AN77" s="378"/>
      <c r="AO77" s="378"/>
      <c r="AP77" s="378"/>
      <c r="AQ77" s="378"/>
      <c r="AR77" s="378"/>
      <c r="AS77" s="378"/>
      <c r="AT77" s="378"/>
    </row>
    <row r="78" spans="1:52" s="175" customFormat="1">
      <c r="A78" s="453" t="s">
        <v>278</v>
      </c>
      <c r="B78" s="454">
        <f>B31/'Deuda GNC'!B$110*100</f>
        <v>2.2870026879999199</v>
      </c>
      <c r="C78" s="454">
        <f>C31/'Deuda GNC'!C$110*100</f>
        <v>2.2102936317681818</v>
      </c>
      <c r="D78" s="454">
        <f>D31/'Deuda GNC'!D$110*100</f>
        <v>2.1220614277015515</v>
      </c>
      <c r="E78" s="454">
        <f>E31/'Deuda GNC'!E$110*100</f>
        <v>1.9795729565901827</v>
      </c>
      <c r="F78" s="454">
        <f>F31/'Deuda GNC'!F$110*100</f>
        <v>2.1885136113586405</v>
      </c>
      <c r="G78" s="454">
        <f>G31/'Deuda GNC'!G$110*100</f>
        <v>2.1682264564857578</v>
      </c>
      <c r="H78" s="454">
        <f>H31/'Deuda GNC'!H$110*100</f>
        <v>1.8489015138358829</v>
      </c>
      <c r="I78" s="454">
        <f>I31/'Deuda GNC'!I$110*100</f>
        <v>2.6239085793490071</v>
      </c>
      <c r="J78" s="454">
        <f>J31/'Deuda GNC'!J$110*100</f>
        <v>2.8120315142315051</v>
      </c>
      <c r="K78" s="454">
        <f>K31/'Deuda GNC'!K$110*100</f>
        <v>2.455875947433535</v>
      </c>
      <c r="L78" s="454">
        <f>L31/'Deuda GNC'!L$110*100</f>
        <v>2.2535537788061388</v>
      </c>
      <c r="M78" s="454">
        <f>M31/'Deuda GNC'!M$110*100</f>
        <v>2.0577665430325425</v>
      </c>
      <c r="N78" s="454">
        <f>N31/'Deuda GNC'!N$110*100</f>
        <v>2.1373045175408714</v>
      </c>
      <c r="O78" s="454">
        <f>O31/'Deuda GNC'!O$110*100</f>
        <v>2.0276500749893733</v>
      </c>
      <c r="P78" s="454">
        <f>P31/'Deuda GNC'!P$110*100</f>
        <v>1.7959006620206921</v>
      </c>
      <c r="Q78" s="454">
        <f>Q31/'Deuda GNC'!Q$110*100</f>
        <v>1.7346796832174267</v>
      </c>
      <c r="R78" s="454">
        <f>R31/'Deuda GNC'!R$110*100</f>
        <v>1.8975015027398858</v>
      </c>
      <c r="S78" s="454">
        <f>S31/'Deuda GNC'!S$110*100</f>
        <v>2.2482763274233926</v>
      </c>
      <c r="T78" s="454">
        <f>T31/'Deuda GNC'!T$110*100</f>
        <v>2.2062312102160755</v>
      </c>
      <c r="U78" s="454">
        <f>U31/'Deuda GNC'!U$110*100</f>
        <v>2.109986306293282</v>
      </c>
      <c r="V78" s="454">
        <f>V31/'Deuda GNC'!V$110*100</f>
        <v>2.1879337086123685</v>
      </c>
      <c r="W78" s="455">
        <f>W31/'Deuda GNC'!W$110*100</f>
        <v>2.0005795274105109</v>
      </c>
      <c r="X78" s="455">
        <f>X31/'Deuda GNC'!X$110*100</f>
        <v>2.5414528219122312</v>
      </c>
      <c r="Y78" s="455">
        <f>Y31/'Deuda GNC'!Y$110*100</f>
        <v>3.5639334725040772</v>
      </c>
      <c r="Z78" s="456">
        <f>Z31/'Deuda GNC'!Z$110*100</f>
        <v>3.0339188344858399</v>
      </c>
      <c r="AA78" s="413">
        <f>AA31/'Deuda GNC'!AA$110*100</f>
        <v>3.9704708516313283</v>
      </c>
      <c r="AB78" s="413" t="e">
        <f>AB31/'Deuda GNC'!AB$110*100</f>
        <v>#DIV/0!</v>
      </c>
      <c r="AC78" s="413" t="e">
        <f>AC31/'Deuda GNC'!AC$110*100</f>
        <v>#DIV/0!</v>
      </c>
      <c r="AD78" s="413" t="e">
        <f>AD31/'Deuda GNC'!AD$110*100</f>
        <v>#DIV/0!</v>
      </c>
      <c r="AE78" s="413" t="e">
        <f>AE31/'Deuda GNC'!AE$110*100</f>
        <v>#DIV/0!</v>
      </c>
      <c r="AF78" s="413" t="e">
        <f>AF31/'Deuda GNC'!AF$110*100</f>
        <v>#DIV/0!</v>
      </c>
      <c r="AG78" s="413" t="e">
        <f>AG31/'Deuda GNC'!AG$110*100</f>
        <v>#DIV/0!</v>
      </c>
      <c r="AH78" s="413" t="e">
        <f>AH31/'Deuda GNC'!AH$110*100</f>
        <v>#DIV/0!</v>
      </c>
      <c r="AI78" s="413" t="e">
        <f>AI31/'Deuda GNC'!AI$110*100</f>
        <v>#DIV/0!</v>
      </c>
      <c r="AJ78" s="413" t="e">
        <f>AJ31/'Deuda GNC'!AJ$110*100</f>
        <v>#DIV/0!</v>
      </c>
      <c r="AK78" s="413" t="e">
        <f>AK31/'Deuda GNC'!AK$110*100</f>
        <v>#DIV/0!</v>
      </c>
      <c r="AL78" s="413" t="e">
        <f>AL31/'Deuda GNC'!AL$110*100</f>
        <v>#DIV/0!</v>
      </c>
      <c r="AM78" s="378"/>
      <c r="AN78" s="378"/>
      <c r="AO78" s="378"/>
      <c r="AP78" s="378"/>
      <c r="AQ78" s="378"/>
      <c r="AR78" s="378"/>
      <c r="AS78" s="378"/>
      <c r="AT78" s="378"/>
    </row>
    <row r="79" spans="1:52">
      <c r="A79" s="51" t="s">
        <v>151</v>
      </c>
      <c r="B79" s="457">
        <f>B32/'Deuda GNC'!B$110*100</f>
        <v>2.2870026879999199</v>
      </c>
      <c r="C79" s="457">
        <f>C32/'Deuda GNC'!C$110*100</f>
        <v>2.178606616770828</v>
      </c>
      <c r="D79" s="457">
        <f>D32/'Deuda GNC'!D$110*100</f>
        <v>2.0005997012859313</v>
      </c>
      <c r="E79" s="457">
        <f>E32/'Deuda GNC'!E$110*100</f>
        <v>1.8024369099049489</v>
      </c>
      <c r="F79" s="457">
        <f>F32/'Deuda GNC'!F$110*100</f>
        <v>1.9788956979917893</v>
      </c>
      <c r="G79" s="457">
        <f>G32/'Deuda GNC'!G$110*100</f>
        <v>1.9648569025291593</v>
      </c>
      <c r="H79" s="457">
        <f>H32/'Deuda GNC'!H$110*100</f>
        <v>1.6609029239245621</v>
      </c>
      <c r="I79" s="457">
        <f>I32/'Deuda GNC'!I$110*100</f>
        <v>2.4569448907059903</v>
      </c>
      <c r="J79" s="457">
        <f>J32/'Deuda GNC'!J$110*100</f>
        <v>2.6038995886802616</v>
      </c>
      <c r="K79" s="457">
        <f>K32/'Deuda GNC'!K$110*100</f>
        <v>2.1532002584427024</v>
      </c>
      <c r="L79" s="457">
        <f>L32/'Deuda GNC'!L$110*100</f>
        <v>2.1406039779898349</v>
      </c>
      <c r="M79" s="457">
        <f>M32/'Deuda GNC'!M$110*100</f>
        <v>1.941173428356223</v>
      </c>
      <c r="N79" s="457">
        <f>N32/'Deuda GNC'!N$110*100</f>
        <v>1.9496989744452864</v>
      </c>
      <c r="O79" s="457">
        <f>O32/'Deuda GNC'!O$110*100</f>
        <v>1.8811963882759617</v>
      </c>
      <c r="P79" s="457">
        <f>P32/'Deuda GNC'!P$110*100</f>
        <v>1.7175831779713622</v>
      </c>
      <c r="Q79" s="457">
        <f>Q32/'Deuda GNC'!Q$110*100</f>
        <v>1.5530485542644161</v>
      </c>
      <c r="R79" s="457">
        <f>R32/'Deuda GNC'!R$110*100</f>
        <v>1.5216257358508034</v>
      </c>
      <c r="S79" s="457">
        <f>S32/'Deuda GNC'!S$110*100</f>
        <v>1.8021034194030756</v>
      </c>
      <c r="T79" s="457">
        <f>T32/'Deuda GNC'!T$110*100</f>
        <v>1.884990929444379</v>
      </c>
      <c r="U79" s="457">
        <f>U32/'Deuda GNC'!U$110*100</f>
        <v>1.8339679703410634</v>
      </c>
      <c r="V79" s="457">
        <f>V32/'Deuda GNC'!V$110*100</f>
        <v>1.8195131042162964</v>
      </c>
      <c r="W79" s="433">
        <f>W32/'Deuda GNC'!W$110*100</f>
        <v>1.8263264779767714</v>
      </c>
      <c r="X79" s="433">
        <f>X32/'Deuda GNC'!X$110*100</f>
        <v>2.0674035812663072</v>
      </c>
      <c r="Y79" s="433">
        <f>Y32/'Deuda GNC'!Y$110*100</f>
        <v>2.4189390723787207</v>
      </c>
      <c r="Z79" s="434">
        <f>Z32/'Deuda GNC'!Z$110*100</f>
        <v>2.0440210995537407</v>
      </c>
      <c r="AA79" s="55">
        <f>AA32/'Deuda GNC'!AA$110*100</f>
        <v>3.1981769409062291</v>
      </c>
      <c r="AB79" s="55" t="e">
        <f>AB32/'Deuda GNC'!AB$110*100</f>
        <v>#DIV/0!</v>
      </c>
      <c r="AC79" s="55" t="e">
        <f>AC32/'Deuda GNC'!AC$110*100</f>
        <v>#DIV/0!</v>
      </c>
      <c r="AD79" s="55" t="e">
        <f>AD32/'Deuda GNC'!AD$110*100</f>
        <v>#DIV/0!</v>
      </c>
      <c r="AE79" s="55" t="e">
        <f>AE32/'Deuda GNC'!AE$110*100</f>
        <v>#DIV/0!</v>
      </c>
      <c r="AF79" s="55" t="e">
        <f>AF32/'Deuda GNC'!AF$110*100</f>
        <v>#DIV/0!</v>
      </c>
      <c r="AG79" s="55" t="e">
        <f>AG32/'Deuda GNC'!AG$110*100</f>
        <v>#DIV/0!</v>
      </c>
      <c r="AH79" s="55" t="e">
        <f>AH32/'Deuda GNC'!AH$110*100</f>
        <v>#DIV/0!</v>
      </c>
      <c r="AI79" s="55" t="e">
        <f>AI32/'Deuda GNC'!AI$110*100</f>
        <v>#DIV/0!</v>
      </c>
      <c r="AJ79" s="55" t="e">
        <f>AJ32/'Deuda GNC'!AJ$110*100</f>
        <v>#DIV/0!</v>
      </c>
      <c r="AK79" s="55" t="e">
        <f>AK32/'Deuda GNC'!AK$110*100</f>
        <v>#DIV/0!</v>
      </c>
      <c r="AL79" s="55" t="e">
        <f>AL32/'Deuda GNC'!AL$110*100</f>
        <v>#DIV/0!</v>
      </c>
      <c r="AM79" s="378"/>
      <c r="AN79" s="378"/>
      <c r="AO79" s="378"/>
      <c r="AP79" s="378"/>
      <c r="AQ79" s="378"/>
      <c r="AR79" s="378"/>
      <c r="AS79" s="378"/>
      <c r="AT79" s="378"/>
    </row>
    <row r="80" spans="1:52">
      <c r="A80" s="387" t="s">
        <v>279</v>
      </c>
      <c r="B80" s="458">
        <f>B33/'Deuda GNC'!B$110*100</f>
        <v>0</v>
      </c>
      <c r="C80" s="458">
        <f>C33/'Deuda GNC'!C$110*100</f>
        <v>0</v>
      </c>
      <c r="D80" s="458">
        <f>D33/'Deuda GNC'!D$110*100</f>
        <v>0</v>
      </c>
      <c r="E80" s="458">
        <f>E33/'Deuda GNC'!E$110*100</f>
        <v>0</v>
      </c>
      <c r="F80" s="458">
        <f>F33/'Deuda GNC'!F$110*100</f>
        <v>0</v>
      </c>
      <c r="G80" s="458">
        <f>G33/'Deuda GNC'!G$110*100</f>
        <v>0</v>
      </c>
      <c r="H80" s="458">
        <f>H33/'Deuda GNC'!H$110*100</f>
        <v>2.5273785268113911</v>
      </c>
      <c r="I80" s="458">
        <f>I33/'Deuda GNC'!I$110*100</f>
        <v>2.6701446128653163</v>
      </c>
      <c r="J80" s="458">
        <f>J33/'Deuda GNC'!J$110*100</f>
        <v>2.7449436122010522</v>
      </c>
      <c r="K80" s="458">
        <f>K33/'Deuda GNC'!K$110*100</f>
        <v>2.3856304205909837</v>
      </c>
      <c r="L80" s="458">
        <f>L33/'Deuda GNC'!L$110*100</f>
        <v>2.3623176942661592</v>
      </c>
      <c r="M80" s="458">
        <f>M33/'Deuda GNC'!M$110*100</f>
        <v>2.1102863901702515</v>
      </c>
      <c r="N80" s="458">
        <f>N33/'Deuda GNC'!N$110*100</f>
        <v>2.1457281156512549</v>
      </c>
      <c r="O80" s="458">
        <f>O33/'Deuda GNC'!O$110*100</f>
        <v>1.9827515186013625</v>
      </c>
      <c r="P80" s="458">
        <f>P33/'Deuda GNC'!P$110*100</f>
        <v>1.8294299345503398</v>
      </c>
      <c r="Q80" s="458">
        <f>Q33/'Deuda GNC'!Q$110*100</f>
        <v>1.8104324021994658</v>
      </c>
      <c r="R80" s="458">
        <f>R33/'Deuda GNC'!R$110*100</f>
        <v>1.8248557482230654</v>
      </c>
      <c r="S80" s="458">
        <f>S33/'Deuda GNC'!S$110*100</f>
        <v>1.9543633545397423</v>
      </c>
      <c r="T80" s="458">
        <f>T33/'Deuda GNC'!T$110*100</f>
        <v>2.0136254846733022</v>
      </c>
      <c r="U80" s="458">
        <f>U33/'Deuda GNC'!U$110*100</f>
        <v>1.9415865993267902</v>
      </c>
      <c r="V80" s="458">
        <f>V33/'Deuda GNC'!V$110*100</f>
        <v>1.9760514282271127</v>
      </c>
      <c r="W80" s="436">
        <f>W33/'Deuda GNC'!W$110*100</f>
        <v>2.1116185481381891</v>
      </c>
      <c r="X80" s="436">
        <f>X33/'Deuda GNC'!X$110*100</f>
        <v>1.9767576851824744</v>
      </c>
      <c r="Y80" s="436">
        <f>Y33/'Deuda GNC'!Y$110*100</f>
        <v>1.8421274097342282</v>
      </c>
      <c r="Z80" s="437">
        <f>Z33/'Deuda GNC'!Z$110*100</f>
        <v>1.8542079692157394</v>
      </c>
      <c r="AA80" s="438">
        <f>AA33/'Deuda GNC'!AA$110*100</f>
        <v>3.1981769409062291</v>
      </c>
      <c r="AB80" s="438" t="e">
        <f>AB33/'Deuda GNC'!AB$110*100</f>
        <v>#DIV/0!</v>
      </c>
      <c r="AC80" s="438" t="e">
        <f>AC33/'Deuda GNC'!AC$110*100</f>
        <v>#DIV/0!</v>
      </c>
      <c r="AD80" s="438" t="e">
        <f>AD33/'Deuda GNC'!AD$110*100</f>
        <v>#DIV/0!</v>
      </c>
      <c r="AE80" s="438" t="e">
        <f>AE33/'Deuda GNC'!AE$110*100</f>
        <v>#DIV/0!</v>
      </c>
      <c r="AF80" s="438" t="e">
        <f>AF33/'Deuda GNC'!AF$110*100</f>
        <v>#DIV/0!</v>
      </c>
      <c r="AG80" s="438" t="e">
        <f>AG33/'Deuda GNC'!AG$110*100</f>
        <v>#DIV/0!</v>
      </c>
      <c r="AH80" s="438" t="e">
        <f>AH33/'Deuda GNC'!AH$110*100</f>
        <v>#DIV/0!</v>
      </c>
      <c r="AI80" s="438" t="e">
        <f>AI33/'Deuda GNC'!AI$110*100</f>
        <v>#DIV/0!</v>
      </c>
      <c r="AJ80" s="438" t="e">
        <f>AJ33/'Deuda GNC'!AJ$110*100</f>
        <v>#DIV/0!</v>
      </c>
      <c r="AK80" s="438" t="e">
        <f>AK33/'Deuda GNC'!AK$110*100</f>
        <v>#DIV/0!</v>
      </c>
      <c r="AL80" s="438" t="e">
        <f>AL33/'Deuda GNC'!AL$110*100</f>
        <v>#DIV/0!</v>
      </c>
      <c r="AM80" s="378"/>
      <c r="AN80" s="378"/>
      <c r="AO80" s="378"/>
      <c r="AP80" s="378"/>
      <c r="AQ80" s="378"/>
      <c r="AR80" s="378"/>
      <c r="AS80" s="378"/>
      <c r="AT80" s="378"/>
    </row>
    <row r="81" spans="1:51" s="133" customFormat="1">
      <c r="A81" s="387" t="s">
        <v>280</v>
      </c>
      <c r="B81" s="401">
        <f>B34/'Deuda GNC'!B$110*100</f>
        <v>0</v>
      </c>
      <c r="C81" s="401">
        <f>C34/'Deuda GNC'!C$110*100</f>
        <v>0</v>
      </c>
      <c r="D81" s="401">
        <f>D34/'Deuda GNC'!D$110*100</f>
        <v>0</v>
      </c>
      <c r="E81" s="401">
        <f>E34/'Deuda GNC'!E$110*100</f>
        <v>0</v>
      </c>
      <c r="F81" s="401">
        <f>F34/'Deuda GNC'!F$110*100</f>
        <v>0</v>
      </c>
      <c r="G81" s="401">
        <f>G34/'Deuda GNC'!G$110*100</f>
        <v>0</v>
      </c>
      <c r="H81" s="401">
        <f>H34/'Deuda GNC'!H$110*100</f>
        <v>0.86647560288682901</v>
      </c>
      <c r="I81" s="401">
        <f>I34/'Deuda GNC'!I$110*100</f>
        <v>0.21319972215932617</v>
      </c>
      <c r="J81" s="401">
        <f>J34/'Deuda GNC'!J$110*100</f>
        <v>0.14104402352079062</v>
      </c>
      <c r="K81" s="401">
        <f>K34/'Deuda GNC'!K$110*100</f>
        <v>0.23243016214828149</v>
      </c>
      <c r="L81" s="401">
        <f>L34/'Deuda GNC'!L$110*100</f>
        <v>0.22171371627632444</v>
      </c>
      <c r="M81" s="401">
        <f>M34/'Deuda GNC'!M$110*100</f>
        <v>0.16911296181402855</v>
      </c>
      <c r="N81" s="401">
        <f>N34/'Deuda GNC'!N$110*100</f>
        <v>0.1960291412059684</v>
      </c>
      <c r="O81" s="401">
        <f>O34/'Deuda GNC'!O$110*100</f>
        <v>0.10155513032540089</v>
      </c>
      <c r="P81" s="401">
        <f>P34/'Deuda GNC'!P$110*100</f>
        <v>0.11184675657897733</v>
      </c>
      <c r="Q81" s="401">
        <f>Q34/'Deuda GNC'!Q$110*100</f>
        <v>0.25738384793504976</v>
      </c>
      <c r="R81" s="401">
        <f>R34/'Deuda GNC'!R$110*100</f>
        <v>0.3032300123722621</v>
      </c>
      <c r="S81" s="401">
        <f>S34/'Deuda GNC'!S$110*100</f>
        <v>0.15225993513666669</v>
      </c>
      <c r="T81" s="401">
        <f>T34/'Deuda GNC'!T$110*100</f>
        <v>0.12863455522892311</v>
      </c>
      <c r="U81" s="385">
        <f>U34/'Deuda GNC'!U$110*100</f>
        <v>0.10761862898572673</v>
      </c>
      <c r="V81" s="385">
        <f>V34/'Deuda GNC'!V$110*100</f>
        <v>0.15653832401081624</v>
      </c>
      <c r="W81" s="436">
        <f>W34/'Deuda GNC'!W$110*100</f>
        <v>0.285292070161418</v>
      </c>
      <c r="X81" s="436">
        <f>X34/'Deuda GNC'!X$110*100</f>
        <v>-9.0645896083832792E-2</v>
      </c>
      <c r="Y81" s="436">
        <f>Y34/'Deuda GNC'!Y$110*100</f>
        <v>-0.5768116626444928</v>
      </c>
      <c r="Z81" s="437">
        <f>Z34/'Deuda GNC'!Z$110*100</f>
        <v>-0.18981313033800137</v>
      </c>
      <c r="AA81" s="438">
        <f>AA34/'Deuda GNC'!AA$110*100</f>
        <v>0</v>
      </c>
      <c r="AB81" s="438" t="e">
        <f>AB34/'Deuda GNC'!AB$110*100</f>
        <v>#DIV/0!</v>
      </c>
      <c r="AC81" s="438" t="e">
        <f>AC34/'Deuda GNC'!AC$110*100</f>
        <v>#DIV/0!</v>
      </c>
      <c r="AD81" s="438" t="e">
        <f>AD34/'Deuda GNC'!AD$110*100</f>
        <v>#DIV/0!</v>
      </c>
      <c r="AE81" s="438" t="e">
        <f>AE34/'Deuda GNC'!AE$110*100</f>
        <v>#DIV/0!</v>
      </c>
      <c r="AF81" s="438" t="e">
        <f>AF34/'Deuda GNC'!AF$110*100</f>
        <v>#DIV/0!</v>
      </c>
      <c r="AG81" s="438" t="e">
        <f>AG34/'Deuda GNC'!AG$110*100</f>
        <v>#DIV/0!</v>
      </c>
      <c r="AH81" s="438" t="e">
        <f>AH34/'Deuda GNC'!AH$110*100</f>
        <v>#DIV/0!</v>
      </c>
      <c r="AI81" s="438" t="e">
        <f>AI34/'Deuda GNC'!AI$110*100</f>
        <v>#DIV/0!</v>
      </c>
      <c r="AJ81" s="438" t="e">
        <f>AJ34/'Deuda GNC'!AJ$110*100</f>
        <v>#DIV/0!</v>
      </c>
      <c r="AK81" s="438" t="e">
        <f>AK34/'Deuda GNC'!AK$110*100</f>
        <v>#DIV/0!</v>
      </c>
      <c r="AL81" s="438" t="e">
        <f>AL34/'Deuda GNC'!AL$110*100</f>
        <v>#DIV/0!</v>
      </c>
      <c r="AM81" s="378"/>
      <c r="AN81" s="378"/>
      <c r="AO81" s="378"/>
      <c r="AP81" s="378"/>
      <c r="AQ81" s="378"/>
      <c r="AR81" s="378"/>
      <c r="AS81" s="378"/>
      <c r="AT81" s="378"/>
    </row>
    <row r="82" spans="1:51">
      <c r="A82" s="51" t="s">
        <v>152</v>
      </c>
      <c r="B82" s="457">
        <f>B35/'Deuda GNC'!B$110*100</f>
        <v>0</v>
      </c>
      <c r="C82" s="457">
        <f>C35/'Deuda GNC'!C$110*100</f>
        <v>3.1687014997353977E-2</v>
      </c>
      <c r="D82" s="457">
        <f>D35/'Deuda GNC'!D$110*100</f>
        <v>0.12146172641562042</v>
      </c>
      <c r="E82" s="457">
        <f>E35/'Deuda GNC'!E$110*100</f>
        <v>0.17713604668523364</v>
      </c>
      <c r="F82" s="457">
        <f>F35/'Deuda GNC'!F$110*100</f>
        <v>0.2096179133668509</v>
      </c>
      <c r="G82" s="457">
        <f>G35/'Deuda GNC'!G$110*100</f>
        <v>0.2033695539565985</v>
      </c>
      <c r="H82" s="457">
        <f>H35/'Deuda GNC'!H$110*100</f>
        <v>0.18799858991132107</v>
      </c>
      <c r="I82" s="457">
        <f>I35/'Deuda GNC'!I$110*100</f>
        <v>0.16696368864301664</v>
      </c>
      <c r="J82" s="457">
        <f>J35/'Deuda GNC'!J$110*100</f>
        <v>0.20813192555124344</v>
      </c>
      <c r="K82" s="457">
        <f>K35/'Deuda GNC'!K$110*100</f>
        <v>0.30267568899083236</v>
      </c>
      <c r="L82" s="457">
        <f>L35/'Deuda GNC'!L$110*100</f>
        <v>0.11294980081630371</v>
      </c>
      <c r="M82" s="433">
        <f>M35/'Deuda GNC'!M$110*100</f>
        <v>0.11659311467631991</v>
      </c>
      <c r="N82" s="433">
        <f>N35/'Deuda GNC'!N$110*100</f>
        <v>0.18760554309558519</v>
      </c>
      <c r="O82" s="433">
        <f>O35/'Deuda GNC'!O$110*100</f>
        <v>0.1464536867134115</v>
      </c>
      <c r="P82" s="433">
        <f>P35/'Deuda GNC'!P$110*100</f>
        <v>7.8317484049329852E-2</v>
      </c>
      <c r="Q82" s="433">
        <f>Q35/'Deuda GNC'!Q$110*100</f>
        <v>0.18163112895301048</v>
      </c>
      <c r="R82" s="433">
        <f>R35/'Deuda GNC'!R$110*100</f>
        <v>0.3758757668890822</v>
      </c>
      <c r="S82" s="433">
        <f>S35/'Deuda GNC'!S$110*100</f>
        <v>0.44617290802031706</v>
      </c>
      <c r="T82" s="433">
        <f>T35/'Deuda GNC'!T$110*100</f>
        <v>0.3212402807716962</v>
      </c>
      <c r="U82" s="433">
        <f>U35/'Deuda GNC'!U$110*100</f>
        <v>0.27601833595221875</v>
      </c>
      <c r="V82" s="433">
        <f>V35/'Deuda GNC'!V$110*100</f>
        <v>0.3684206043960721</v>
      </c>
      <c r="W82" s="433">
        <f>W35/'Deuda GNC'!W$110*100</f>
        <v>0.17425304943373998</v>
      </c>
      <c r="X82" s="433">
        <f>X35/'Deuda GNC'!X$110*100</f>
        <v>0.4740492406459243</v>
      </c>
      <c r="Y82" s="433">
        <f>Y35/'Deuda GNC'!Y$110*100</f>
        <v>1.1449944001253562</v>
      </c>
      <c r="Z82" s="434">
        <f>Z35/'Deuda GNC'!Z$110*100</f>
        <v>0.9898977349320992</v>
      </c>
      <c r="AA82" s="55">
        <f>AA35/'Deuda GNC'!AA$110*100</f>
        <v>0.77229391072509934</v>
      </c>
      <c r="AB82" s="55">
        <f>AB35/'Deuda GNC'!AB$110*100</f>
        <v>0.72777762799226253</v>
      </c>
      <c r="AC82" s="55" t="e">
        <f>AC35/'Deuda GNC'!AC$110*100</f>
        <v>#DIV/0!</v>
      </c>
      <c r="AD82" s="55" t="e">
        <f>AD35/'Deuda GNC'!AD$110*100</f>
        <v>#DIV/0!</v>
      </c>
      <c r="AE82" s="55" t="e">
        <f>AE35/'Deuda GNC'!AE$110*100</f>
        <v>#DIV/0!</v>
      </c>
      <c r="AF82" s="55" t="e">
        <f>AF35/'Deuda GNC'!AF$110*100</f>
        <v>#DIV/0!</v>
      </c>
      <c r="AG82" s="55" t="e">
        <f>AG35/'Deuda GNC'!AG$110*100</f>
        <v>#DIV/0!</v>
      </c>
      <c r="AH82" s="55" t="e">
        <f>AH35/'Deuda GNC'!AH$110*100</f>
        <v>#DIV/0!</v>
      </c>
      <c r="AI82" s="55" t="e">
        <f>AI35/'Deuda GNC'!AI$110*100</f>
        <v>#DIV/0!</v>
      </c>
      <c r="AJ82" s="55" t="e">
        <f>AJ35/'Deuda GNC'!AJ$110*100</f>
        <v>#DIV/0!</v>
      </c>
      <c r="AK82" s="55" t="e">
        <f>AK35/'Deuda GNC'!AK$110*100</f>
        <v>#DIV/0!</v>
      </c>
      <c r="AL82" s="55" t="e">
        <f>AL35/'Deuda GNC'!AL$110*100</f>
        <v>#DIV/0!</v>
      </c>
      <c r="AM82" s="378"/>
      <c r="AN82" s="378"/>
      <c r="AO82" s="378"/>
      <c r="AP82" s="378"/>
      <c r="AQ82" s="378"/>
      <c r="AR82" s="378"/>
      <c r="AS82" s="378"/>
      <c r="AT82" s="378"/>
    </row>
    <row r="83" spans="1:51">
      <c r="A83" s="51" t="s">
        <v>148</v>
      </c>
      <c r="B83" s="457">
        <f>B36/'Deuda GNC'!B$110*100</f>
        <v>1.0287388903312702</v>
      </c>
      <c r="C83" s="457">
        <f>C36/'Deuda GNC'!C$110*100</f>
        <v>1.1239199990827775</v>
      </c>
      <c r="D83" s="457">
        <f>D36/'Deuda GNC'!D$110*100</f>
        <v>1.4216946715108461</v>
      </c>
      <c r="E83" s="457">
        <f>E36/'Deuda GNC'!E$110*100</f>
        <v>1.5248112198145853</v>
      </c>
      <c r="F83" s="457">
        <f>F36/'Deuda GNC'!F$110*100</f>
        <v>1.6219700216904653</v>
      </c>
      <c r="G83" s="457">
        <f>G36/'Deuda GNC'!G$110*100</f>
        <v>1.4280184934916831</v>
      </c>
      <c r="H83" s="457">
        <f>H36/'Deuda GNC'!H$110*100</f>
        <v>1.2628013686607062</v>
      </c>
      <c r="I83" s="457">
        <f>I36/'Deuda GNC'!I$110*100</f>
        <v>1.0354988045668152</v>
      </c>
      <c r="J83" s="457">
        <f>J36/'Deuda GNC'!J$110*100</f>
        <v>0.90046880883996494</v>
      </c>
      <c r="K83" s="457">
        <f>K36/'Deuda GNC'!K$110*100</f>
        <v>0.76843379596683437</v>
      </c>
      <c r="L83" s="457">
        <f>L36/'Deuda GNC'!L$110*100</f>
        <v>0.76676521648671092</v>
      </c>
      <c r="M83" s="457">
        <f>M36/'Deuda GNC'!M$110*100</f>
        <v>0.67116446628727688</v>
      </c>
      <c r="N83" s="457">
        <f>N36/'Deuda GNC'!N$110*100</f>
        <v>0.57637437665366875</v>
      </c>
      <c r="O83" s="457">
        <f>O36/'Deuda GNC'!O$110*100</f>
        <v>0.53081042058811001</v>
      </c>
      <c r="P83" s="457">
        <f>P36/'Deuda GNC'!P$110*100</f>
        <v>0.49560643974568802</v>
      </c>
      <c r="Q83" s="457">
        <f>Q36/'Deuda GNC'!Q$110*100</f>
        <v>0.49095508911681307</v>
      </c>
      <c r="R83" s="457">
        <f>R36/'Deuda GNC'!R$110*100</f>
        <v>0.66817794800230979</v>
      </c>
      <c r="S83" s="457">
        <f>S36/'Deuda GNC'!S$110*100</f>
        <v>0.69016321675165049</v>
      </c>
      <c r="T83" s="457">
        <f>T36/'Deuda GNC'!T$110*100</f>
        <v>0.68543471082861585</v>
      </c>
      <c r="U83" s="457">
        <f>U36/'Deuda GNC'!U$110*100</f>
        <v>0.67137165513444563</v>
      </c>
      <c r="V83" s="457">
        <f>V36/'Deuda GNC'!V$110*100</f>
        <v>0.71757703418527619</v>
      </c>
      <c r="W83" s="433">
        <f>W36/'Deuda GNC'!W$110*100</f>
        <v>0.8394882245626839</v>
      </c>
      <c r="X83" s="433">
        <f>X36/'Deuda GNC'!X$110*100</f>
        <v>0.78556445579170908</v>
      </c>
      <c r="Y83" s="433">
        <f>Y36/'Deuda GNC'!Y$110*100</f>
        <v>0.75498869434282045</v>
      </c>
      <c r="Z83" s="434">
        <f>Z36/'Deuda GNC'!Z$110*100</f>
        <v>0.87510108596210501</v>
      </c>
      <c r="AA83" s="55">
        <f>AA36/'Deuda GNC'!AA$110*100</f>
        <v>0</v>
      </c>
      <c r="AB83" s="55" t="e">
        <f>AB36/'Deuda GNC'!AB$110*100</f>
        <v>#DIV/0!</v>
      </c>
      <c r="AC83" s="55" t="e">
        <f>AC36/'Deuda GNC'!AC$110*100</f>
        <v>#DIV/0!</v>
      </c>
      <c r="AD83" s="55" t="e">
        <f>AD36/'Deuda GNC'!AD$110*100</f>
        <v>#DIV/0!</v>
      </c>
      <c r="AE83" s="55" t="e">
        <f>AE36/'Deuda GNC'!AE$110*100</f>
        <v>#DIV/0!</v>
      </c>
      <c r="AF83" s="55" t="e">
        <f>AF36/'Deuda GNC'!AF$110*100</f>
        <v>#DIV/0!</v>
      </c>
      <c r="AG83" s="55" t="e">
        <f>AG36/'Deuda GNC'!AG$110*100</f>
        <v>#DIV/0!</v>
      </c>
      <c r="AH83" s="55" t="e">
        <f>AH36/'Deuda GNC'!AH$110*100</f>
        <v>#DIV/0!</v>
      </c>
      <c r="AI83" s="55" t="e">
        <f>AI36/'Deuda GNC'!AI$110*100</f>
        <v>#DIV/0!</v>
      </c>
      <c r="AJ83" s="55" t="e">
        <f>AJ36/'Deuda GNC'!AJ$110*100</f>
        <v>#DIV/0!</v>
      </c>
      <c r="AK83" s="55" t="e">
        <f>AK36/'Deuda GNC'!AK$110*100</f>
        <v>#DIV/0!</v>
      </c>
      <c r="AL83" s="55" t="e">
        <f>AL36/'Deuda GNC'!AL$110*100</f>
        <v>#DIV/0!</v>
      </c>
      <c r="AM83" s="378"/>
      <c r="AN83" s="378"/>
      <c r="AO83" s="378"/>
      <c r="AP83" s="378"/>
      <c r="AQ83" s="378"/>
      <c r="AR83" s="378"/>
      <c r="AS83" s="378"/>
      <c r="AT83" s="378"/>
    </row>
    <row r="84" spans="1:51" s="175" customFormat="1">
      <c r="A84" s="459" t="s">
        <v>281</v>
      </c>
      <c r="B84" s="460">
        <f>B37/'Deuda GNC'!B$110*100</f>
        <v>3.3157415783311905</v>
      </c>
      <c r="C84" s="460">
        <f>C37/'Deuda GNC'!C$110*100</f>
        <v>3.3342136308509596</v>
      </c>
      <c r="D84" s="460">
        <f>D37/'Deuda GNC'!D$110*100</f>
        <v>3.5437560992123975</v>
      </c>
      <c r="E84" s="460">
        <f>E37/'Deuda GNC'!E$110*100</f>
        <v>3.5043841764047685</v>
      </c>
      <c r="F84" s="460">
        <f>F37/'Deuda GNC'!F$110*100</f>
        <v>3.8104836330491061</v>
      </c>
      <c r="G84" s="460">
        <f>G37/'Deuda GNC'!G$110*100</f>
        <v>3.5962449499774412</v>
      </c>
      <c r="H84" s="460">
        <f>H37/'Deuda GNC'!H$110*100</f>
        <v>3.1117028824965898</v>
      </c>
      <c r="I84" s="460">
        <f>I37/'Deuda GNC'!I$110*100</f>
        <v>3.6594073839158225</v>
      </c>
      <c r="J84" s="460">
        <f>J37/'Deuda GNC'!J$110*100</f>
        <v>3.7125003230714699</v>
      </c>
      <c r="K84" s="460">
        <f>K37/'Deuda GNC'!K$110*100</f>
        <v>3.2243097434003691</v>
      </c>
      <c r="L84" s="460">
        <f>L37/'Deuda GNC'!L$110*100</f>
        <v>3.02031899529285</v>
      </c>
      <c r="M84" s="460">
        <f>M37/'Deuda GNC'!M$110*100</f>
        <v>2.7289310093198198</v>
      </c>
      <c r="N84" s="460">
        <f>N37/'Deuda GNC'!N$110*100</f>
        <v>2.71367889419454</v>
      </c>
      <c r="O84" s="460">
        <f>O37/'Deuda GNC'!O$110*100</f>
        <v>2.5584604955774837</v>
      </c>
      <c r="P84" s="460">
        <f>P37/'Deuda GNC'!P$110*100</f>
        <v>2.29150710176638</v>
      </c>
      <c r="Q84" s="460">
        <f>Q37/'Deuda GNC'!Q$110*100</f>
        <v>2.2256347723342396</v>
      </c>
      <c r="R84" s="460">
        <f>R37/'Deuda GNC'!R$110*100</f>
        <v>2.5656794507421954</v>
      </c>
      <c r="S84" s="460">
        <f>S37/'Deuda GNC'!S$110*100</f>
        <v>2.938439544175043</v>
      </c>
      <c r="T84" s="460">
        <f>T37/'Deuda GNC'!T$110*100</f>
        <v>2.8916659210446913</v>
      </c>
      <c r="U84" s="460">
        <f>U37/'Deuda GNC'!U$110*100</f>
        <v>2.7813579614277275</v>
      </c>
      <c r="V84" s="460">
        <f>V37/'Deuda GNC'!V$110*100</f>
        <v>2.9055107427976448</v>
      </c>
      <c r="W84" s="461">
        <f>W37/'Deuda GNC'!W$110*100</f>
        <v>2.8400677519731947</v>
      </c>
      <c r="X84" s="461">
        <f>X37/'Deuda GNC'!X$110*100</f>
        <v>3.3270172777039404</v>
      </c>
      <c r="Y84" s="461">
        <f>Y37/'Deuda GNC'!Y$110*100</f>
        <v>4.3189221668468978</v>
      </c>
      <c r="Z84" s="462">
        <f>Z37/'Deuda GNC'!Z$110*100</f>
        <v>3.9090199204479448</v>
      </c>
      <c r="AA84" s="463">
        <f>AA37/'Deuda GNC'!AA$110*100</f>
        <v>3.9704708516313283</v>
      </c>
      <c r="AB84" s="463" t="e">
        <f>AB37/'Deuda GNC'!AB$110*100</f>
        <v>#DIV/0!</v>
      </c>
      <c r="AC84" s="463" t="e">
        <f>AC37/'Deuda GNC'!AC$110*100</f>
        <v>#DIV/0!</v>
      </c>
      <c r="AD84" s="463" t="e">
        <f>AD37/'Deuda GNC'!AD$110*100</f>
        <v>#DIV/0!</v>
      </c>
      <c r="AE84" s="463" t="e">
        <f>AE37/'Deuda GNC'!AE$110*100</f>
        <v>#DIV/0!</v>
      </c>
      <c r="AF84" s="463" t="e">
        <f>AF37/'Deuda GNC'!AF$110*100</f>
        <v>#DIV/0!</v>
      </c>
      <c r="AG84" s="463" t="e">
        <f>AG37/'Deuda GNC'!AG$110*100</f>
        <v>#DIV/0!</v>
      </c>
      <c r="AH84" s="463" t="e">
        <f>AH37/'Deuda GNC'!AH$110*100</f>
        <v>#DIV/0!</v>
      </c>
      <c r="AI84" s="463" t="e">
        <f>AI37/'Deuda GNC'!AI$110*100</f>
        <v>#DIV/0!</v>
      </c>
      <c r="AJ84" s="463" t="e">
        <f>AJ37/'Deuda GNC'!AJ$110*100</f>
        <v>#DIV/0!</v>
      </c>
      <c r="AK84" s="463" t="e">
        <f>AK37/'Deuda GNC'!AK$110*100</f>
        <v>#DIV/0!</v>
      </c>
      <c r="AL84" s="463" t="e">
        <f>AL37/'Deuda GNC'!AL$110*100</f>
        <v>#DIV/0!</v>
      </c>
      <c r="AM84" s="378"/>
      <c r="AN84" s="378"/>
      <c r="AO84" s="378"/>
      <c r="AP84" s="378"/>
      <c r="AQ84" s="378"/>
      <c r="AR84" s="378"/>
      <c r="AS84" s="378"/>
      <c r="AT84" s="378"/>
    </row>
    <row r="85" spans="1:51" s="175" customFormat="1" ht="18">
      <c r="A85" s="372"/>
      <c r="B85" s="378"/>
      <c r="C85" s="378"/>
      <c r="D85" s="378"/>
      <c r="E85" s="378"/>
      <c r="F85" s="378"/>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8"/>
      <c r="AL85" s="378"/>
      <c r="AM85" s="378"/>
      <c r="AN85" s="378"/>
      <c r="AO85" s="378"/>
      <c r="AP85" s="378"/>
      <c r="AQ85" s="378"/>
      <c r="AR85" s="378"/>
      <c r="AS85" s="378"/>
      <c r="AT85" s="378"/>
    </row>
    <row r="86" spans="1:51">
      <c r="A86" s="374" t="s">
        <v>282</v>
      </c>
      <c r="B86" s="369">
        <v>36525</v>
      </c>
      <c r="C86" s="369">
        <v>36891</v>
      </c>
      <c r="D86" s="369">
        <v>37256</v>
      </c>
      <c r="E86" s="369">
        <v>37621</v>
      </c>
      <c r="F86" s="369">
        <v>37986</v>
      </c>
      <c r="G86" s="369">
        <v>38352</v>
      </c>
      <c r="H86" s="369">
        <v>38717</v>
      </c>
      <c r="I86" s="369">
        <v>39082</v>
      </c>
      <c r="J86" s="369">
        <v>39447</v>
      </c>
      <c r="K86" s="369">
        <v>39813</v>
      </c>
      <c r="L86" s="369">
        <v>40178</v>
      </c>
      <c r="M86" s="369">
        <v>40543</v>
      </c>
      <c r="N86" s="369">
        <v>40908</v>
      </c>
      <c r="O86" s="369">
        <v>41274</v>
      </c>
      <c r="P86" s="369">
        <v>41639</v>
      </c>
      <c r="Q86" s="369">
        <v>42004</v>
      </c>
      <c r="R86" s="369">
        <v>42369</v>
      </c>
      <c r="S86" s="369">
        <v>42735</v>
      </c>
      <c r="T86" s="369">
        <v>43100</v>
      </c>
      <c r="U86" s="369">
        <v>43465</v>
      </c>
      <c r="V86" s="369">
        <v>43830</v>
      </c>
      <c r="W86" s="369">
        <v>44196</v>
      </c>
      <c r="X86" s="369">
        <v>44561</v>
      </c>
      <c r="Y86" s="369">
        <v>44926</v>
      </c>
      <c r="Z86" s="394">
        <v>45291</v>
      </c>
      <c r="AA86" s="369">
        <v>45657</v>
      </c>
      <c r="AB86" s="369">
        <v>46022</v>
      </c>
      <c r="AC86" s="369">
        <v>46387</v>
      </c>
      <c r="AD86" s="369">
        <v>46752</v>
      </c>
      <c r="AE86" s="369">
        <v>47118</v>
      </c>
      <c r="AF86" s="369">
        <v>47483</v>
      </c>
      <c r="AG86" s="369">
        <v>47848</v>
      </c>
      <c r="AH86" s="369">
        <v>48213</v>
      </c>
      <c r="AI86" s="369">
        <v>48579</v>
      </c>
      <c r="AJ86" s="369">
        <v>48944</v>
      </c>
      <c r="AK86" s="369">
        <v>49309</v>
      </c>
      <c r="AL86" s="369">
        <v>49310</v>
      </c>
      <c r="AM86" s="378"/>
      <c r="AN86" s="378"/>
      <c r="AO86" s="378"/>
      <c r="AP86" s="378"/>
      <c r="AQ86" s="378"/>
      <c r="AR86" s="378"/>
      <c r="AS86" s="378"/>
      <c r="AT86" s="378"/>
    </row>
    <row r="87" spans="1:51">
      <c r="A87" s="464" t="s">
        <v>283</v>
      </c>
      <c r="B87" s="465">
        <f>B40/'Deuda GNC'!B$110*100</f>
        <v>7.9192982081470218</v>
      </c>
      <c r="C87" s="465">
        <f>C40/'Deuda GNC'!C$110*100</f>
        <v>5.9903443415780355</v>
      </c>
      <c r="D87" s="465">
        <f>D40/'Deuda GNC'!D$110*100</f>
        <v>6.3050295064041988</v>
      </c>
      <c r="E87" s="465">
        <f>E40/'Deuda GNC'!E$110*100</f>
        <v>5.6131710501020589</v>
      </c>
      <c r="F87" s="465">
        <f>F40/'Deuda GNC'!F$110*100</f>
        <v>4.9952478178024755</v>
      </c>
      <c r="G87" s="465">
        <f>G40/'Deuda GNC'!G$110*100</f>
        <v>5.15571444750569</v>
      </c>
      <c r="H87" s="465">
        <f>H40/'Deuda GNC'!H$110*100</f>
        <v>7.6214139466755428</v>
      </c>
      <c r="I87" s="465">
        <f>I40/'Deuda GNC'!I$110*100</f>
        <v>5.9172097243999344</v>
      </c>
      <c r="J87" s="465">
        <f>J40/'Deuda GNC'!J$110*100</f>
        <v>4.3357200555054076</v>
      </c>
      <c r="K87" s="465">
        <f>K40/'Deuda GNC'!K$110*100</f>
        <v>4.79525872411687</v>
      </c>
      <c r="L87" s="465">
        <f>L40/'Deuda GNC'!L$110*100</f>
        <v>4.9333789533758177</v>
      </c>
      <c r="M87" s="465">
        <f>M40/'Deuda GNC'!M$110*100</f>
        <v>4.921642101509323</v>
      </c>
      <c r="N87" s="465">
        <f>N40/'Deuda GNC'!N$110*100</f>
        <v>4.5571672916588932</v>
      </c>
      <c r="O87" s="465">
        <f>O40/'Deuda GNC'!O$110*100</f>
        <v>3.6927543000933385</v>
      </c>
      <c r="P87" s="465">
        <f>P40/'Deuda GNC'!P$110*100</f>
        <v>4.1452451225049876</v>
      </c>
      <c r="Q87" s="465">
        <f>Q40/'Deuda GNC'!Q$110*100</f>
        <v>4.1975706315198629</v>
      </c>
      <c r="R87" s="465">
        <f>R40/'Deuda GNC'!R$110*100</f>
        <v>3.6344863452564544</v>
      </c>
      <c r="S87" s="465">
        <f>S40/'Deuda GNC'!S$110*100</f>
        <v>4.0866647793209232</v>
      </c>
      <c r="T87" s="465">
        <f>T40/'Deuda GNC'!T$110*100</f>
        <v>3.9263137747973387</v>
      </c>
      <c r="U87" s="466">
        <f>U40/'Deuda GNC'!U$110*100</f>
        <v>3.8380554196270871</v>
      </c>
      <c r="V87" s="466">
        <f>V40/'Deuda GNC'!V$110*100</f>
        <v>2.2595487568219226</v>
      </c>
      <c r="W87" s="466">
        <f>W40/'Deuda GNC'!W$110*100</f>
        <v>4.2722047174552298</v>
      </c>
      <c r="X87" s="466">
        <f>X40/'Deuda GNC'!X$110*100</f>
        <v>4.6378306836025107</v>
      </c>
      <c r="Y87" s="466">
        <f>Y40/'Deuda GNC'!Y$110*100</f>
        <v>3.4299127070880044</v>
      </c>
      <c r="Z87" s="467">
        <f>Z40/'Deuda GNC'!Z$110*100</f>
        <v>2.9091365328539167</v>
      </c>
      <c r="AA87" s="468">
        <f>AA40/'Deuda GNC'!AA$110*100</f>
        <v>0</v>
      </c>
      <c r="AB87" s="468" t="e">
        <f>AB40/'Deuda GNC'!AB$110*100</f>
        <v>#DIV/0!</v>
      </c>
      <c r="AC87" s="468" t="e">
        <f>AC40/'Deuda GNC'!AC$110*100</f>
        <v>#DIV/0!</v>
      </c>
      <c r="AD87" s="468" t="e">
        <f>AD40/'Deuda GNC'!AD$110*100</f>
        <v>#DIV/0!</v>
      </c>
      <c r="AE87" s="468" t="e">
        <f>AE40/'Deuda GNC'!AE$110*100</f>
        <v>#DIV/0!</v>
      </c>
      <c r="AF87" s="468" t="e">
        <f>AF40/'Deuda GNC'!AF$110*100</f>
        <v>#DIV/0!</v>
      </c>
      <c r="AG87" s="468" t="e">
        <f>AG40/'Deuda GNC'!AG$110*100</f>
        <v>#DIV/0!</v>
      </c>
      <c r="AH87" s="468" t="e">
        <f>AH40/'Deuda GNC'!AH$110*100</f>
        <v>#DIV/0!</v>
      </c>
      <c r="AI87" s="468" t="e">
        <f>AI40/'Deuda GNC'!AI$110*100</f>
        <v>#DIV/0!</v>
      </c>
      <c r="AJ87" s="468" t="e">
        <f>AJ40/'Deuda GNC'!AJ$110*100</f>
        <v>#DIV/0!</v>
      </c>
      <c r="AK87" s="468" t="e">
        <f>AK40/'Deuda GNC'!AK$110*100</f>
        <v>#DIV/0!</v>
      </c>
      <c r="AL87" s="468" t="e">
        <f>AL40/'Deuda GNC'!AL$110*100</f>
        <v>#DIV/0!</v>
      </c>
      <c r="AM87" s="378"/>
      <c r="AN87" s="378"/>
      <c r="AO87" s="378"/>
      <c r="AP87" s="378"/>
      <c r="AQ87" s="378"/>
      <c r="AR87" s="378"/>
      <c r="AS87" s="378"/>
      <c r="AT87" s="378"/>
    </row>
    <row r="88" spans="1:51">
      <c r="A88" s="51" t="s">
        <v>284</v>
      </c>
      <c r="B88" s="469">
        <f>B41/'Deuda GNC'!B$110*100</f>
        <v>3.3663901170557424</v>
      </c>
      <c r="C88" s="469">
        <f>C41/'Deuda GNC'!C$110*100</f>
        <v>2.8543942497705763</v>
      </c>
      <c r="D88" s="469">
        <f>D41/'Deuda GNC'!D$110*100</f>
        <v>5.7470939667270269</v>
      </c>
      <c r="E88" s="469">
        <f>E41/'Deuda GNC'!E$110*100</f>
        <v>2.1447315419571016</v>
      </c>
      <c r="F88" s="469">
        <f>F41/'Deuda GNC'!F$110*100</f>
        <v>4.7674309498660365</v>
      </c>
      <c r="G88" s="469">
        <f>G41/'Deuda GNC'!G$110*100</f>
        <v>2.3067072011406919</v>
      </c>
      <c r="H88" s="469">
        <f>H41/'Deuda GNC'!H$110*100</f>
        <v>2.0886464608664435</v>
      </c>
      <c r="I88" s="469">
        <f>I41/'Deuda GNC'!I$110*100</f>
        <v>2.6442330736678881</v>
      </c>
      <c r="J88" s="469">
        <f>J41/'Deuda GNC'!J$110*100</f>
        <v>0.58407078924451272</v>
      </c>
      <c r="K88" s="469">
        <f>K41/'Deuda GNC'!K$110*100</f>
        <v>1.2309933043917587</v>
      </c>
      <c r="L88" s="469">
        <f>L41/'Deuda GNC'!L$110*100</f>
        <v>2.3774831424011977</v>
      </c>
      <c r="M88" s="469">
        <f>M41/'Deuda GNC'!M$110*100</f>
        <v>1.1589541598399997</v>
      </c>
      <c r="N88" s="469">
        <f>N41/'Deuda GNC'!N$110*100</f>
        <v>0.91382532674167161</v>
      </c>
      <c r="O88" s="469">
        <f>O41/'Deuda GNC'!O$110*100</f>
        <v>0.672652657308771</v>
      </c>
      <c r="P88" s="469">
        <f>P41/'Deuda GNC'!P$110*100</f>
        <v>1.0534804360167749</v>
      </c>
      <c r="Q88" s="469">
        <f>Q41/'Deuda GNC'!Q$110*100</f>
        <v>1.4263692468307687</v>
      </c>
      <c r="R88" s="469">
        <f>R41/'Deuda GNC'!R$110*100</f>
        <v>2.3308029572906488</v>
      </c>
      <c r="S88" s="469">
        <f>S41/'Deuda GNC'!S$110*100</f>
        <v>1.6698494229298557</v>
      </c>
      <c r="T88" s="469">
        <f>T41/'Deuda GNC'!T$110*100</f>
        <v>1.6442682305625727</v>
      </c>
      <c r="U88" s="470">
        <f>U41/'Deuda GNC'!U$110*100</f>
        <v>1.2524049246004956</v>
      </c>
      <c r="V88" s="470">
        <f>V41/'Deuda GNC'!V$110*100</f>
        <v>1.1662060425607104</v>
      </c>
      <c r="W88" s="470">
        <f>W41/'Deuda GNC'!W$110*100</f>
        <v>3.8755758913284257</v>
      </c>
      <c r="X88" s="470">
        <f>X41/'Deuda GNC'!X$110*100</f>
        <v>2.7544009324694132</v>
      </c>
      <c r="Y88" s="470">
        <f>Y41/'Deuda GNC'!Y$110*100</f>
        <v>1.429326577237171</v>
      </c>
      <c r="Z88" s="471">
        <f>Z41/'Deuda GNC'!Z$110*100</f>
        <v>1.766513165633099</v>
      </c>
      <c r="AA88" s="55">
        <f>AA41/'Deuda GNC'!AA$110*100</f>
        <v>0</v>
      </c>
      <c r="AB88" s="55" t="e">
        <f>AB41/'Deuda GNC'!AB$110*100</f>
        <v>#DIV/0!</v>
      </c>
      <c r="AC88" s="55" t="e">
        <f>AC41/'Deuda GNC'!AC$110*100</f>
        <v>#DIV/0!</v>
      </c>
      <c r="AD88" s="55" t="e">
        <f>AD41/'Deuda GNC'!AD$110*100</f>
        <v>#DIV/0!</v>
      </c>
      <c r="AE88" s="55" t="e">
        <f>AE41/'Deuda GNC'!AE$110*100</f>
        <v>#DIV/0!</v>
      </c>
      <c r="AF88" s="55" t="e">
        <f>AF41/'Deuda GNC'!AF$110*100</f>
        <v>#DIV/0!</v>
      </c>
      <c r="AG88" s="55" t="e">
        <f>AG41/'Deuda GNC'!AG$110*100</f>
        <v>#DIV/0!</v>
      </c>
      <c r="AH88" s="55" t="e">
        <f>AH41/'Deuda GNC'!AH$110*100</f>
        <v>#DIV/0!</v>
      </c>
      <c r="AI88" s="55" t="e">
        <f>AI41/'Deuda GNC'!AI$110*100</f>
        <v>#DIV/0!</v>
      </c>
      <c r="AJ88" s="55" t="e">
        <f>AJ41/'Deuda GNC'!AJ$110*100</f>
        <v>#DIV/0!</v>
      </c>
      <c r="AK88" s="55" t="e">
        <f>AK41/'Deuda GNC'!AK$110*100</f>
        <v>#DIV/0!</v>
      </c>
      <c r="AL88" s="55" t="e">
        <f>AL41/'Deuda GNC'!AL$110*100</f>
        <v>#DIV/0!</v>
      </c>
      <c r="AM88" s="378"/>
      <c r="AN88" s="378"/>
      <c r="AO88" s="378"/>
      <c r="AP88" s="378"/>
      <c r="AQ88" s="378"/>
      <c r="AR88" s="378"/>
      <c r="AS88" s="378"/>
      <c r="AT88" s="378"/>
    </row>
    <row r="89" spans="1:51">
      <c r="A89" s="395" t="s">
        <v>285</v>
      </c>
      <c r="B89" s="472">
        <f t="shared" ref="B89:AL89" si="23">B87+B88</f>
        <v>11.285688325202765</v>
      </c>
      <c r="C89" s="472">
        <f t="shared" si="23"/>
        <v>8.8447385913486123</v>
      </c>
      <c r="D89" s="472">
        <f t="shared" si="23"/>
        <v>12.052123473131225</v>
      </c>
      <c r="E89" s="472">
        <f t="shared" si="23"/>
        <v>7.7579025920591604</v>
      </c>
      <c r="F89" s="472">
        <f t="shared" si="23"/>
        <v>9.7626787676685112</v>
      </c>
      <c r="G89" s="472">
        <f t="shared" si="23"/>
        <v>7.4624216486463819</v>
      </c>
      <c r="H89" s="472">
        <f t="shared" si="23"/>
        <v>9.7100604075419863</v>
      </c>
      <c r="I89" s="472">
        <f t="shared" si="23"/>
        <v>8.5614427980678229</v>
      </c>
      <c r="J89" s="472">
        <f t="shared" si="23"/>
        <v>4.9197908447499206</v>
      </c>
      <c r="K89" s="472">
        <f t="shared" si="23"/>
        <v>6.0262520285086287</v>
      </c>
      <c r="L89" s="472">
        <f t="shared" si="23"/>
        <v>7.310862095777015</v>
      </c>
      <c r="M89" s="472">
        <f t="shared" si="23"/>
        <v>6.0805962613493225</v>
      </c>
      <c r="N89" s="472">
        <f t="shared" si="23"/>
        <v>5.4709926184005653</v>
      </c>
      <c r="O89" s="472">
        <f t="shared" si="23"/>
        <v>4.3654069574021097</v>
      </c>
      <c r="P89" s="472">
        <f t="shared" si="23"/>
        <v>5.1987255585217627</v>
      </c>
      <c r="Q89" s="472">
        <f t="shared" si="23"/>
        <v>5.6239398783506314</v>
      </c>
      <c r="R89" s="472">
        <f t="shared" si="23"/>
        <v>5.9652893025471032</v>
      </c>
      <c r="S89" s="472">
        <f t="shared" si="23"/>
        <v>5.7565142022507789</v>
      </c>
      <c r="T89" s="472">
        <f t="shared" si="23"/>
        <v>5.5705820053599115</v>
      </c>
      <c r="U89" s="473">
        <f t="shared" si="23"/>
        <v>5.0904603442275826</v>
      </c>
      <c r="V89" s="473">
        <f t="shared" si="23"/>
        <v>3.4257547993826329</v>
      </c>
      <c r="W89" s="473">
        <f t="shared" si="23"/>
        <v>8.1477806087836555</v>
      </c>
      <c r="X89" s="473">
        <f t="shared" si="23"/>
        <v>7.3922316160719239</v>
      </c>
      <c r="Y89" s="473">
        <f t="shared" si="23"/>
        <v>4.8592392843251755</v>
      </c>
      <c r="Z89" s="474">
        <f t="shared" si="23"/>
        <v>4.6756496984870157</v>
      </c>
      <c r="AA89" s="413">
        <f t="shared" si="23"/>
        <v>0</v>
      </c>
      <c r="AB89" s="413" t="e">
        <f t="shared" si="23"/>
        <v>#DIV/0!</v>
      </c>
      <c r="AC89" s="413" t="e">
        <f t="shared" si="23"/>
        <v>#DIV/0!</v>
      </c>
      <c r="AD89" s="413" t="e">
        <f t="shared" si="23"/>
        <v>#DIV/0!</v>
      </c>
      <c r="AE89" s="413" t="e">
        <f t="shared" si="23"/>
        <v>#DIV/0!</v>
      </c>
      <c r="AF89" s="413" t="e">
        <f t="shared" si="23"/>
        <v>#DIV/0!</v>
      </c>
      <c r="AG89" s="413" t="e">
        <f t="shared" si="23"/>
        <v>#DIV/0!</v>
      </c>
      <c r="AH89" s="413" t="e">
        <f t="shared" si="23"/>
        <v>#DIV/0!</v>
      </c>
      <c r="AI89" s="413" t="e">
        <f t="shared" si="23"/>
        <v>#DIV/0!</v>
      </c>
      <c r="AJ89" s="413" t="e">
        <f t="shared" si="23"/>
        <v>#DIV/0!</v>
      </c>
      <c r="AK89" s="413" t="e">
        <f t="shared" si="23"/>
        <v>#DIV/0!</v>
      </c>
      <c r="AL89" s="413" t="e">
        <f t="shared" si="23"/>
        <v>#DIV/0!</v>
      </c>
      <c r="AM89" s="378"/>
      <c r="AN89" s="378"/>
      <c r="AO89" s="378"/>
      <c r="AP89" s="378"/>
      <c r="AQ89" s="378"/>
      <c r="AR89" s="378"/>
      <c r="AS89" s="378"/>
      <c r="AT89" s="378"/>
    </row>
    <row r="90" spans="1:51">
      <c r="A90" s="51" t="s">
        <v>286</v>
      </c>
      <c r="B90" s="469">
        <f>B43/'Deuda GNC'!B$110*100</f>
        <v>4.1498394594497796</v>
      </c>
      <c r="C90" s="469">
        <f>C43/'Deuda GNC'!C$110*100</f>
        <v>2.6738518266461329</v>
      </c>
      <c r="D90" s="469">
        <f>D43/'Deuda GNC'!D$110*100</f>
        <v>3.6177157299304619</v>
      </c>
      <c r="E90" s="469">
        <f>E43/'Deuda GNC'!E$110*100</f>
        <v>2.8645080232945022</v>
      </c>
      <c r="F90" s="469">
        <f>F43/'Deuda GNC'!F$110*100</f>
        <v>2.6441831434538261</v>
      </c>
      <c r="G90" s="469">
        <f>G43/'Deuda GNC'!G$110*100</f>
        <v>3.0764713677937339</v>
      </c>
      <c r="H90" s="469">
        <f>H43/'Deuda GNC'!H$110*100</f>
        <v>2.7879925787177275</v>
      </c>
      <c r="I90" s="469">
        <f>I43/'Deuda GNC'!I$110*100</f>
        <v>4.0670400862859166</v>
      </c>
      <c r="J90" s="469">
        <f>J43/'Deuda GNC'!J$110*100</f>
        <v>3.9941910835840413</v>
      </c>
      <c r="K90" s="469">
        <f>K43/'Deuda GNC'!K$110*100</f>
        <v>3.3209193874821596</v>
      </c>
      <c r="L90" s="469">
        <f>L43/'Deuda GNC'!L$110*100</f>
        <v>2.5142719252148154</v>
      </c>
      <c r="M90" s="469">
        <f>M43/'Deuda GNC'!M$110*100</f>
        <v>2.3915240721718751</v>
      </c>
      <c r="N90" s="469">
        <f>N43/'Deuda GNC'!N$110*100</f>
        <v>2.1881286084502873</v>
      </c>
      <c r="O90" s="469">
        <f>O43/'Deuda GNC'!O$110*100</f>
        <v>2.0847698297428852</v>
      </c>
      <c r="P90" s="469">
        <f>P43/'Deuda GNC'!P$110*100</f>
        <v>2.4310306731740678</v>
      </c>
      <c r="Q90" s="469">
        <f>Q43/'Deuda GNC'!Q$110*100</f>
        <v>2.2332236673092027</v>
      </c>
      <c r="R90" s="469">
        <f>R43/'Deuda GNC'!R$110*100</f>
        <v>2.4359992175692509</v>
      </c>
      <c r="S90" s="469">
        <f>S43/'Deuda GNC'!S$110*100</f>
        <v>1.3931476064808288</v>
      </c>
      <c r="T90" s="469">
        <f>T43/'Deuda GNC'!T$110*100</f>
        <v>1.5724994132051837</v>
      </c>
      <c r="U90" s="470">
        <f>U43/'Deuda GNC'!U$110*100</f>
        <v>0.67898368672166232</v>
      </c>
      <c r="V90" s="470">
        <f>V43/'Deuda GNC'!V$110*100</f>
        <v>2.3282187090472988</v>
      </c>
      <c r="W90" s="470">
        <f>W43/'Deuda GNC'!W$110*100</f>
        <v>0.85143073388641111</v>
      </c>
      <c r="X90" s="470">
        <f>X43/'Deuda GNC'!X$110*100</f>
        <v>1.4827596437177712</v>
      </c>
      <c r="Y90" s="470">
        <f>Y43/'Deuda GNC'!Y$110*100</f>
        <v>1.2480313758179271</v>
      </c>
      <c r="Z90" s="471">
        <f>Z43/'Deuda GNC'!Z$110*100</f>
        <v>0.87929200093305759</v>
      </c>
      <c r="AA90" s="55">
        <f>AA43/'Deuda GNC'!AA$110*100</f>
        <v>0.45714552884499082</v>
      </c>
      <c r="AB90" s="55">
        <f>AB43/'Deuda GNC'!AB$110*100</f>
        <v>1.7090436888032214</v>
      </c>
      <c r="AC90" s="55">
        <f>AC43/'Deuda GNC'!AC$110*100</f>
        <v>1.9473973513636</v>
      </c>
      <c r="AD90" s="55">
        <f>AD43/'Deuda GNC'!AD$110*100</f>
        <v>2.8214024704661114</v>
      </c>
      <c r="AE90" s="55">
        <f>AE43/'Deuda GNC'!AE$110*100</f>
        <v>2.1459715960833585</v>
      </c>
      <c r="AF90" s="55">
        <f>AF43/'Deuda GNC'!AF$110*100</f>
        <v>1.1812106285388611</v>
      </c>
      <c r="AG90" s="55" t="e">
        <f>AG43/'Deuda GNC'!AG$110*100</f>
        <v>#DIV/0!</v>
      </c>
      <c r="AH90" s="55" t="e">
        <f>AH43/'Deuda GNC'!AH$110*100</f>
        <v>#DIV/0!</v>
      </c>
      <c r="AI90" s="55" t="e">
        <f>AI43/'Deuda GNC'!AI$110*100</f>
        <v>#DIV/0!</v>
      </c>
      <c r="AJ90" s="55" t="e">
        <f>AJ43/'Deuda GNC'!AJ$110*100</f>
        <v>#DIV/0!</v>
      </c>
      <c r="AK90" s="55" t="e">
        <f>AK43/'Deuda GNC'!AK$110*100</f>
        <v>#DIV/0!</v>
      </c>
      <c r="AL90" s="55" t="e">
        <f>AL43/'Deuda GNC'!AL$110*100</f>
        <v>#DIV/0!</v>
      </c>
      <c r="AM90" s="378"/>
      <c r="AN90" s="378"/>
      <c r="AO90" s="378"/>
      <c r="AP90" s="378"/>
      <c r="AQ90" s="378"/>
      <c r="AR90" s="378"/>
      <c r="AS90" s="378"/>
      <c r="AT90" s="378"/>
      <c r="AU90" s="378"/>
      <c r="AV90" s="378"/>
      <c r="AW90" s="378"/>
      <c r="AX90" s="378"/>
      <c r="AY90" s="378"/>
    </row>
    <row r="91" spans="1:51">
      <c r="A91" s="51" t="s">
        <v>287</v>
      </c>
      <c r="B91" s="469">
        <f>B44/'Deuda GNC'!B$110*100</f>
        <v>1.22571122718683</v>
      </c>
      <c r="C91" s="469">
        <f>C44/'Deuda GNC'!C$110*100</f>
        <v>1.0242790618994808</v>
      </c>
      <c r="D91" s="469">
        <f>D44/'Deuda GNC'!D$110*100</f>
        <v>1.754453337402101</v>
      </c>
      <c r="E91" s="469">
        <f>E44/'Deuda GNC'!E$110*100</f>
        <v>2.1527602620163035</v>
      </c>
      <c r="F91" s="469">
        <f>F44/'Deuda GNC'!F$110*100</f>
        <v>2.6791652702665436</v>
      </c>
      <c r="G91" s="469">
        <f>G44/'Deuda GNC'!G$110*100</f>
        <v>1.1675204776857984</v>
      </c>
      <c r="H91" s="469">
        <f>H44/'Deuda GNC'!H$110*100</f>
        <v>2.4079903473777096</v>
      </c>
      <c r="I91" s="469">
        <f>I44/'Deuda GNC'!I$110*100</f>
        <v>1.2289496936043542</v>
      </c>
      <c r="J91" s="469">
        <f>J44/'Deuda GNC'!J$110*100</f>
        <v>0.78832108842763693</v>
      </c>
      <c r="K91" s="469">
        <f>K44/'Deuda GNC'!K$110*100</f>
        <v>0.70596871484201451</v>
      </c>
      <c r="L91" s="469">
        <f>L44/'Deuda GNC'!L$110*100</f>
        <v>0.53497139238807701</v>
      </c>
      <c r="M91" s="469">
        <f>M44/'Deuda GNC'!M$110*100</f>
        <v>0.612335281082379</v>
      </c>
      <c r="N91" s="469">
        <f>N44/'Deuda GNC'!N$110*100</f>
        <v>0.36250390540924643</v>
      </c>
      <c r="O91" s="469">
        <f>O44/'Deuda GNC'!O$110*100</f>
        <v>0.53887728032383675</v>
      </c>
      <c r="P91" s="469">
        <f>P44/'Deuda GNC'!P$110*100</f>
        <v>0.40043876823433355</v>
      </c>
      <c r="Q91" s="469">
        <f>Q44/'Deuda GNC'!Q$110*100</f>
        <v>0.63236736786556658</v>
      </c>
      <c r="R91" s="469">
        <f>R44/'Deuda GNC'!R$110*100</f>
        <v>0.75266594220050409</v>
      </c>
      <c r="S91" s="469">
        <f>S44/'Deuda GNC'!S$110*100</f>
        <v>0.41194163331834466</v>
      </c>
      <c r="T91" s="469">
        <f>T44/'Deuda GNC'!T$110*100</f>
        <v>0.83523371768409949</v>
      </c>
      <c r="U91" s="470">
        <f>U44/'Deuda GNC'!U$110*100</f>
        <v>0.29913635282061318</v>
      </c>
      <c r="V91" s="470">
        <f>V44/'Deuda GNC'!V$110*100</f>
        <v>0.75577120489606131</v>
      </c>
      <c r="W91" s="470">
        <f>W44/'Deuda GNC'!W$110*100</f>
        <v>0.64033371064921907</v>
      </c>
      <c r="X91" s="470">
        <f>X44/'Deuda GNC'!X$110*100</f>
        <v>0.9095761920112857</v>
      </c>
      <c r="Y91" s="470">
        <f>Y44/'Deuda GNC'!Y$110*100</f>
        <v>0.28696489503376194</v>
      </c>
      <c r="Z91" s="471">
        <f>Z44/'Deuda GNC'!Z$110*100</f>
        <v>0.80302574992805964</v>
      </c>
      <c r="AA91" s="55">
        <f>AA44/'Deuda GNC'!AA$110*100</f>
        <v>0</v>
      </c>
      <c r="AB91" s="55">
        <f>AB44/'Deuda GNC'!AB$110*100</f>
        <v>0</v>
      </c>
      <c r="AC91" s="55">
        <f>AC44/'Deuda GNC'!AC$110*100</f>
        <v>0</v>
      </c>
      <c r="AD91" s="55">
        <f>AD44/'Deuda GNC'!AD$110*100</f>
        <v>0</v>
      </c>
      <c r="AE91" s="55">
        <f>AE44/'Deuda GNC'!AE$110*100</f>
        <v>0</v>
      </c>
      <c r="AF91" s="55" t="e">
        <f>AF44/'Deuda GNC'!AF$110*100</f>
        <v>#DIV/0!</v>
      </c>
      <c r="AG91" s="55" t="e">
        <f>AG44/'Deuda GNC'!AG$110*100</f>
        <v>#DIV/0!</v>
      </c>
      <c r="AH91" s="55" t="e">
        <f>AH44/'Deuda GNC'!AH$110*100</f>
        <v>#DIV/0!</v>
      </c>
      <c r="AI91" s="55" t="e">
        <f>AI44/'Deuda GNC'!AI$110*100</f>
        <v>#DIV/0!</v>
      </c>
      <c r="AJ91" s="55" t="e">
        <f>AJ44/'Deuda GNC'!AJ$110*100</f>
        <v>#DIV/0!</v>
      </c>
      <c r="AK91" s="55" t="e">
        <f>AK44/'Deuda GNC'!AK$110*100</f>
        <v>#DIV/0!</v>
      </c>
      <c r="AL91" s="55" t="e">
        <f>AL44/'Deuda GNC'!AL$110*100</f>
        <v>#DIV/0!</v>
      </c>
      <c r="AM91" s="378"/>
      <c r="AN91" s="378"/>
      <c r="AO91" s="378"/>
      <c r="AP91" s="378"/>
      <c r="AQ91" s="378"/>
      <c r="AR91" s="378"/>
      <c r="AS91" s="378"/>
      <c r="AT91" s="378"/>
      <c r="AU91" s="378"/>
      <c r="AV91" s="378"/>
      <c r="AW91" s="378"/>
      <c r="AX91" s="378"/>
      <c r="AY91" s="378"/>
    </row>
    <row r="92" spans="1:51" s="175" customFormat="1">
      <c r="A92" s="395" t="s">
        <v>288</v>
      </c>
      <c r="B92" s="472">
        <f t="shared" ref="B92:AL92" si="24">B90+B91</f>
        <v>5.3755506866366094</v>
      </c>
      <c r="C92" s="472">
        <f t="shared" si="24"/>
        <v>3.6981308885456139</v>
      </c>
      <c r="D92" s="472">
        <f t="shared" si="24"/>
        <v>5.3721690673325631</v>
      </c>
      <c r="E92" s="472">
        <f t="shared" si="24"/>
        <v>5.0172682853108057</v>
      </c>
      <c r="F92" s="472">
        <f t="shared" si="24"/>
        <v>5.3233484137203693</v>
      </c>
      <c r="G92" s="472">
        <f t="shared" si="24"/>
        <v>4.243991845479532</v>
      </c>
      <c r="H92" s="472">
        <f t="shared" si="24"/>
        <v>5.1959829260954375</v>
      </c>
      <c r="I92" s="472">
        <f t="shared" si="24"/>
        <v>5.2959897798902711</v>
      </c>
      <c r="J92" s="472">
        <f t="shared" si="24"/>
        <v>4.7825121720116783</v>
      </c>
      <c r="K92" s="472">
        <f t="shared" si="24"/>
        <v>4.0268881023241745</v>
      </c>
      <c r="L92" s="472">
        <f t="shared" si="24"/>
        <v>3.0492433176028921</v>
      </c>
      <c r="M92" s="472">
        <f t="shared" si="24"/>
        <v>3.0038593532542541</v>
      </c>
      <c r="N92" s="472">
        <f t="shared" si="24"/>
        <v>2.5506325138595338</v>
      </c>
      <c r="O92" s="472">
        <f t="shared" si="24"/>
        <v>2.623647110066722</v>
      </c>
      <c r="P92" s="472">
        <f t="shared" si="24"/>
        <v>2.8314694414084016</v>
      </c>
      <c r="Q92" s="472">
        <f t="shared" si="24"/>
        <v>2.8655910351747691</v>
      </c>
      <c r="R92" s="472">
        <f t="shared" si="24"/>
        <v>3.1886651597697551</v>
      </c>
      <c r="S92" s="472">
        <f t="shared" si="24"/>
        <v>1.8050892397991736</v>
      </c>
      <c r="T92" s="472">
        <f t="shared" si="24"/>
        <v>2.4077331308892833</v>
      </c>
      <c r="U92" s="473">
        <f t="shared" si="24"/>
        <v>0.97812003954227555</v>
      </c>
      <c r="V92" s="473">
        <f t="shared" si="24"/>
        <v>3.08398991394336</v>
      </c>
      <c r="W92" s="473">
        <f t="shared" si="24"/>
        <v>1.4917644445356302</v>
      </c>
      <c r="X92" s="473">
        <f t="shared" si="24"/>
        <v>2.3923358357290567</v>
      </c>
      <c r="Y92" s="473">
        <f t="shared" si="24"/>
        <v>1.5349962708516891</v>
      </c>
      <c r="Z92" s="474">
        <f t="shared" si="24"/>
        <v>1.6823177508611171</v>
      </c>
      <c r="AA92" s="413">
        <f t="shared" si="24"/>
        <v>0.45714552884499082</v>
      </c>
      <c r="AB92" s="413">
        <f t="shared" si="24"/>
        <v>1.7090436888032214</v>
      </c>
      <c r="AC92" s="413">
        <f t="shared" si="24"/>
        <v>1.9473973513636</v>
      </c>
      <c r="AD92" s="413">
        <f t="shared" si="24"/>
        <v>2.8214024704661114</v>
      </c>
      <c r="AE92" s="413">
        <f t="shared" si="24"/>
        <v>2.1459715960833585</v>
      </c>
      <c r="AF92" s="413" t="e">
        <f t="shared" si="24"/>
        <v>#DIV/0!</v>
      </c>
      <c r="AG92" s="413" t="e">
        <f t="shared" si="24"/>
        <v>#DIV/0!</v>
      </c>
      <c r="AH92" s="413" t="e">
        <f t="shared" si="24"/>
        <v>#DIV/0!</v>
      </c>
      <c r="AI92" s="413" t="e">
        <f t="shared" si="24"/>
        <v>#DIV/0!</v>
      </c>
      <c r="AJ92" s="413" t="e">
        <f t="shared" si="24"/>
        <v>#DIV/0!</v>
      </c>
      <c r="AK92" s="413" t="e">
        <f t="shared" si="24"/>
        <v>#DIV/0!</v>
      </c>
      <c r="AL92" s="413" t="e">
        <f t="shared" si="24"/>
        <v>#DIV/0!</v>
      </c>
      <c r="AM92" s="378"/>
      <c r="AN92" s="378"/>
      <c r="AO92" s="378"/>
      <c r="AP92" s="378"/>
      <c r="AQ92" s="378"/>
      <c r="AR92" s="378"/>
      <c r="AS92" s="378"/>
      <c r="AT92" s="378"/>
      <c r="AU92" s="378"/>
      <c r="AV92" s="378"/>
      <c r="AW92" s="378"/>
      <c r="AX92" s="378"/>
      <c r="AY92" s="378"/>
    </row>
    <row r="93" spans="1:51">
      <c r="A93" s="395" t="s">
        <v>289</v>
      </c>
      <c r="B93" s="472">
        <f>B46/'Deuda GNC'!B$110*100</f>
        <v>3.3157415783311905</v>
      </c>
      <c r="C93" s="472">
        <f>C46/'Deuda GNC'!C$110*100</f>
        <v>3.3025266158536057</v>
      </c>
      <c r="D93" s="472">
        <f>D46/'Deuda GNC'!D$110*100</f>
        <v>3.4222943727967774</v>
      </c>
      <c r="E93" s="472">
        <f>E46/'Deuda GNC'!E$110*100</f>
        <v>3.3272481297195347</v>
      </c>
      <c r="F93" s="472">
        <f>F46/'Deuda GNC'!F$110*100</f>
        <v>3.6008657196822549</v>
      </c>
      <c r="G93" s="472">
        <f>G46/'Deuda GNC'!G$110*100</f>
        <v>3.3928753960208424</v>
      </c>
      <c r="H93" s="472">
        <f>H46/'Deuda GNC'!H$110*100</f>
        <v>2.9237042925852683</v>
      </c>
      <c r="I93" s="472">
        <f>I46/'Deuda GNC'!I$110*100</f>
        <v>3.4924436952728057</v>
      </c>
      <c r="J93" s="472">
        <f>J46/'Deuda GNC'!J$110*100</f>
        <v>3.5043683975202273</v>
      </c>
      <c r="K93" s="472">
        <f>K46/'Deuda GNC'!K$110*100</f>
        <v>2.9216340544095365</v>
      </c>
      <c r="L93" s="472">
        <f>L46/'Deuda GNC'!L$110*100</f>
        <v>2.9073691944765461</v>
      </c>
      <c r="M93" s="472">
        <f>M46/'Deuda GNC'!M$110*100</f>
        <v>2.6123378946434994</v>
      </c>
      <c r="N93" s="472">
        <f>N46/'Deuda GNC'!N$110*100</f>
        <v>2.526073351098955</v>
      </c>
      <c r="O93" s="472">
        <f>O46/'Deuda GNC'!O$110*100</f>
        <v>2.4120068088640716</v>
      </c>
      <c r="P93" s="472">
        <f>P46/'Deuda GNC'!P$110*100</f>
        <v>2.2131896177170503</v>
      </c>
      <c r="Q93" s="472">
        <f>Q46/'Deuda GNC'!Q$110*100</f>
        <v>2.0440036433812292</v>
      </c>
      <c r="R93" s="472">
        <f>R46/'Deuda GNC'!R$110*100</f>
        <v>2.1898036838531132</v>
      </c>
      <c r="S93" s="472">
        <f>S46/'Deuda GNC'!S$110*100</f>
        <v>2.4922666361547261</v>
      </c>
      <c r="T93" s="472">
        <f>T46/'Deuda GNC'!T$110*100</f>
        <v>2.5704256402729952</v>
      </c>
      <c r="U93" s="473">
        <f>U46/'Deuda GNC'!U$110*100</f>
        <v>2.5053396254755089</v>
      </c>
      <c r="V93" s="473">
        <f>V46/'Deuda GNC'!V$110*100</f>
        <v>2.5370901384015725</v>
      </c>
      <c r="W93" s="473">
        <f>W46/'Deuda GNC'!W$110*100</f>
        <v>2.6658147025394552</v>
      </c>
      <c r="X93" s="473">
        <f>X46/'Deuda GNC'!X$110*100</f>
        <v>2.8529680370580159</v>
      </c>
      <c r="Y93" s="473">
        <f>Y46/'Deuda GNC'!Y$110*100</f>
        <v>3.1739277667215413</v>
      </c>
      <c r="Z93" s="474">
        <f>Z46/'Deuda GNC'!Z$110*100</f>
        <v>2.9191221855158456</v>
      </c>
      <c r="AA93" s="413">
        <f>AA46/'Deuda GNC'!AA$110*100</f>
        <v>3.1981769409062291</v>
      </c>
      <c r="AB93" s="413" t="e">
        <f>AB46/'Deuda GNC'!AB$110*100</f>
        <v>#DIV/0!</v>
      </c>
      <c r="AC93" s="413" t="e">
        <f>AC46/'Deuda GNC'!AC$110*100</f>
        <v>#DIV/0!</v>
      </c>
      <c r="AD93" s="413" t="e">
        <f>AD46/'Deuda GNC'!AD$110*100</f>
        <v>#DIV/0!</v>
      </c>
      <c r="AE93" s="413" t="e">
        <f>AE46/'Deuda GNC'!AE$110*100</f>
        <v>#DIV/0!</v>
      </c>
      <c r="AF93" s="413" t="e">
        <f>AF46/'Deuda GNC'!AF$110*100</f>
        <v>#DIV/0!</v>
      </c>
      <c r="AG93" s="413" t="e">
        <f>AG46/'Deuda GNC'!AG$110*100</f>
        <v>#DIV/0!</v>
      </c>
      <c r="AH93" s="413" t="e">
        <f>AH46/'Deuda GNC'!AH$110*100</f>
        <v>#DIV/0!</v>
      </c>
      <c r="AI93" s="413" t="e">
        <f>AI46/'Deuda GNC'!AI$110*100</f>
        <v>#DIV/0!</v>
      </c>
      <c r="AJ93" s="413" t="e">
        <f>AJ46/'Deuda GNC'!AJ$110*100</f>
        <v>#DIV/0!</v>
      </c>
      <c r="AK93" s="413" t="e">
        <f>AK46/'Deuda GNC'!AK$110*100</f>
        <v>#DIV/0!</v>
      </c>
      <c r="AL93" s="413" t="e">
        <f>AL46/'Deuda GNC'!AL$110*100</f>
        <v>#DIV/0!</v>
      </c>
      <c r="AM93" s="378"/>
      <c r="AN93" s="378"/>
      <c r="AO93" s="378"/>
      <c r="AP93" s="378"/>
      <c r="AQ93" s="378"/>
      <c r="AR93" s="378"/>
      <c r="AS93" s="378"/>
      <c r="AT93" s="378"/>
      <c r="AU93" s="378"/>
      <c r="AV93" s="378"/>
      <c r="AW93" s="378"/>
      <c r="AX93" s="378"/>
      <c r="AY93" s="378"/>
    </row>
    <row r="94" spans="1:51">
      <c r="A94" s="395" t="s">
        <v>290</v>
      </c>
      <c r="B94" s="472">
        <f>B47/'Deuda GNC'!B$110*100</f>
        <v>4.2794530328864644</v>
      </c>
      <c r="C94" s="472">
        <f>C47/'Deuda GNC'!C$110*100</f>
        <v>1.4892671407099962</v>
      </c>
      <c r="D94" s="472">
        <f>D47/'Deuda GNC'!D$110*100</f>
        <v>1.4092212171420972</v>
      </c>
      <c r="E94" s="472">
        <f>E47/'Deuda GNC'!E$110*100</f>
        <v>1.7310971828301343</v>
      </c>
      <c r="F94" s="472">
        <f>F47/'Deuda GNC'!F$110*100</f>
        <v>0.48876801897755956</v>
      </c>
      <c r="G94" s="472">
        <f>G47/'Deuda GNC'!G$110*100</f>
        <v>0.93683306688121182</v>
      </c>
      <c r="H94" s="472">
        <f>H47/'Deuda GNC'!H$110*100</f>
        <v>0.88562840036688328</v>
      </c>
      <c r="I94" s="472">
        <f>I47/'Deuda GNC'!I$110*100</f>
        <v>-0.2347255364003738</v>
      </c>
      <c r="J94" s="472">
        <f>J47/'Deuda GNC'!J$110*100</f>
        <v>-1.0022402061804945</v>
      </c>
      <c r="K94" s="472">
        <f>K47/'Deuda GNC'!K$110*100</f>
        <v>-0.9018517929432921</v>
      </c>
      <c r="L94" s="472">
        <f>L47/'Deuda GNC'!L$110*100</f>
        <v>1.1096844851208443</v>
      </c>
      <c r="M94" s="472">
        <f>M47/'Deuda GNC'!M$110*100</f>
        <v>1.1344431298088562</v>
      </c>
      <c r="N94" s="472">
        <f>N47/'Deuda GNC'!N$110*100</f>
        <v>0.1144413754797256</v>
      </c>
      <c r="O94" s="472">
        <f>O47/'Deuda GNC'!O$110*100</f>
        <v>-0.24172929057543388</v>
      </c>
      <c r="P94" s="472">
        <f>P47/'Deuda GNC'!P$110*100</f>
        <v>3.9480641665599288E-2</v>
      </c>
      <c r="Q94" s="472">
        <f>Q47/'Deuda GNC'!Q$110*100</f>
        <v>0.18049775645389654</v>
      </c>
      <c r="R94" s="472">
        <f>R47/'Deuda GNC'!R$110*100</f>
        <v>0.45020642068324412</v>
      </c>
      <c r="S94" s="472">
        <f>S47/'Deuda GNC'!S$110*100</f>
        <v>1.1048811875372302</v>
      </c>
      <c r="T94" s="472">
        <f>T47/'Deuda GNC'!T$110*100</f>
        <v>0.76254826139745391</v>
      </c>
      <c r="U94" s="473">
        <f>U47/'Deuda GNC'!U$110*100</f>
        <v>0.28769042117224924</v>
      </c>
      <c r="V94" s="473">
        <f>V47/'Deuda GNC'!V$110*100</f>
        <v>-0.44826039035369214</v>
      </c>
      <c r="W94" s="473">
        <f>W47/'Deuda GNC'!W$110*100</f>
        <v>4.9538930925683369</v>
      </c>
      <c r="X94" s="473">
        <f>X47/'Deuda GNC'!X$110*100</f>
        <v>3.6451390479718802</v>
      </c>
      <c r="Y94" s="473">
        <f>Y47/'Deuda GNC'!Y$110*100</f>
        <v>0.98560831693350492</v>
      </c>
      <c r="Z94" s="474">
        <f>Z47/'Deuda GNC'!Z$110*100</f>
        <v>0</v>
      </c>
      <c r="AA94" s="413">
        <f>AA47/'Deuda GNC'!AA$110*100</f>
        <v>0</v>
      </c>
      <c r="AB94" s="413">
        <f>AB47/'Deuda GNC'!AB$110*100</f>
        <v>0</v>
      </c>
      <c r="AC94" s="413">
        <f>AC47/'Deuda GNC'!AC$110*100</f>
        <v>0</v>
      </c>
      <c r="AD94" s="413">
        <f>AD47/'Deuda GNC'!AD$110*100</f>
        <v>0</v>
      </c>
      <c r="AE94" s="413">
        <f>AE47/'Deuda GNC'!AE$110*100</f>
        <v>0</v>
      </c>
      <c r="AF94" s="413">
        <f>AF47/'Deuda GNC'!AF$110*100</f>
        <v>0</v>
      </c>
      <c r="AG94" s="413">
        <f>AG47/'Deuda GNC'!AG$110*100</f>
        <v>0</v>
      </c>
      <c r="AH94" s="413">
        <f>AH47/'Deuda GNC'!AH$110*100</f>
        <v>0</v>
      </c>
      <c r="AI94" s="413">
        <f>AI47/'Deuda GNC'!AI$110*100</f>
        <v>0</v>
      </c>
      <c r="AJ94" s="413">
        <f>AJ47/'Deuda GNC'!AJ$110*100</f>
        <v>0</v>
      </c>
      <c r="AK94" s="413">
        <f>AK47/'Deuda GNC'!AK$110*100</f>
        <v>0</v>
      </c>
      <c r="AL94" s="413">
        <f>AL47/'Deuda GNC'!AL$110*100</f>
        <v>0</v>
      </c>
      <c r="AM94" s="378"/>
      <c r="AN94" s="378"/>
      <c r="AO94" s="378"/>
      <c r="AP94" s="378"/>
      <c r="AQ94" s="378"/>
      <c r="AR94" s="378"/>
      <c r="AS94" s="378"/>
      <c r="AT94" s="378"/>
      <c r="AU94" s="378"/>
      <c r="AV94" s="378"/>
      <c r="AW94" s="378"/>
      <c r="AX94" s="378"/>
      <c r="AY94" s="378"/>
    </row>
    <row r="95" spans="1:51" s="175" customFormat="1">
      <c r="A95" s="403" t="s">
        <v>168</v>
      </c>
      <c r="B95" s="475">
        <f>B48/'Deuda GNC'!B$110*100</f>
        <v>12.970745297854263</v>
      </c>
      <c r="C95" s="475">
        <f>C48/'Deuda GNC'!C$110*100</f>
        <v>8.4899246451092161</v>
      </c>
      <c r="D95" s="475">
        <f>D48/'Deuda GNC'!D$110*100</f>
        <v>10.203684657271438</v>
      </c>
      <c r="E95" s="475">
        <f>E48/'Deuda GNC'!E$110*100</f>
        <v>10.075613597860475</v>
      </c>
      <c r="F95" s="475">
        <f>F48/'Deuda GNC'!F$110*100</f>
        <v>9.4129821523801844</v>
      </c>
      <c r="G95" s="475">
        <f>G48/'Deuda GNC'!G$110*100</f>
        <v>8.5737003083815857</v>
      </c>
      <c r="H95" s="475">
        <f>H48/'Deuda GNC'!H$110*100</f>
        <v>9.0053156190475896</v>
      </c>
      <c r="I95" s="475">
        <f>I48/'Deuda GNC'!I$110*100</f>
        <v>8.5537079387627024</v>
      </c>
      <c r="J95" s="475">
        <f>J48/'Deuda GNC'!J$110*100</f>
        <v>7.2846403633514107</v>
      </c>
      <c r="K95" s="475">
        <f>K48/'Deuda GNC'!K$110*100</f>
        <v>6.0466703637904189</v>
      </c>
      <c r="L95" s="475">
        <f>L48/'Deuda GNC'!L$110*100</f>
        <v>7.0662969972002818</v>
      </c>
      <c r="M95" s="475">
        <f>M48/'Deuda GNC'!M$110*100</f>
        <v>6.7506403777066097</v>
      </c>
      <c r="N95" s="475">
        <f>N48/'Deuda GNC'!N$110*100</f>
        <v>5.1911472404382142</v>
      </c>
      <c r="O95" s="475">
        <f>O48/'Deuda GNC'!O$110*100</f>
        <v>4.7939246283553603</v>
      </c>
      <c r="P95" s="475">
        <f>P48/'Deuda GNC'!P$110*100</f>
        <v>5.0841397007910505</v>
      </c>
      <c r="Q95" s="475">
        <f>Q48/'Deuda GNC'!Q$110*100</f>
        <v>5.0900924350098951</v>
      </c>
      <c r="R95" s="475">
        <f>R48/'Deuda GNC'!R$110*100</f>
        <v>5.8286752643061126</v>
      </c>
      <c r="S95" s="475">
        <f>S48/'Deuda GNC'!S$110*100</f>
        <v>5.4022370634911292</v>
      </c>
      <c r="T95" s="475">
        <f>T48/'Deuda GNC'!T$110*100</f>
        <v>5.7407070325597314</v>
      </c>
      <c r="U95" s="475">
        <f>U48/'Deuda GNC'!U$110*100</f>
        <v>3.7711500861900338</v>
      </c>
      <c r="V95" s="475">
        <f>V48/'Deuda GNC'!V$110*100</f>
        <v>5.1728196619912392</v>
      </c>
      <c r="W95" s="475">
        <f>W48/'Deuda GNC'!W$110*100</f>
        <v>9.1114722396434207</v>
      </c>
      <c r="X95" s="475">
        <f>X48/'Deuda GNC'!X$110*100</f>
        <v>8.8904429207589519</v>
      </c>
      <c r="Y95" s="475">
        <f>Y48/'Deuda GNC'!Y$110*100</f>
        <v>5.6945323545067348</v>
      </c>
      <c r="Z95" s="476">
        <f>Z48/'Deuda GNC'!Z$110*100</f>
        <v>4.6014399363769627</v>
      </c>
      <c r="AA95" s="477">
        <f>AA48/'Deuda GNC'!AA$110*100</f>
        <v>3.6553224697512201</v>
      </c>
      <c r="AB95" s="477" t="e">
        <f>AB48/'Deuda GNC'!AB$110*100</f>
        <v>#DIV/0!</v>
      </c>
      <c r="AC95" s="477" t="e">
        <f>AC48/'Deuda GNC'!AC$110*100</f>
        <v>#DIV/0!</v>
      </c>
      <c r="AD95" s="477" t="e">
        <f>AD48/'Deuda GNC'!AD$110*100</f>
        <v>#DIV/0!</v>
      </c>
      <c r="AE95" s="477" t="e">
        <f>AE48/'Deuda GNC'!AE$110*100</f>
        <v>#DIV/0!</v>
      </c>
      <c r="AF95" s="477" t="e">
        <f>AF48/'Deuda GNC'!AF$110*100</f>
        <v>#DIV/0!</v>
      </c>
      <c r="AG95" s="477" t="e">
        <f>AG48/'Deuda GNC'!AG$110*100</f>
        <v>#DIV/0!</v>
      </c>
      <c r="AH95" s="477" t="e">
        <f>AH48/'Deuda GNC'!AH$110*100</f>
        <v>#DIV/0!</v>
      </c>
      <c r="AI95" s="477" t="e">
        <f>AI48/'Deuda GNC'!AI$110*100</f>
        <v>#DIV/0!</v>
      </c>
      <c r="AJ95" s="477" t="e">
        <f>AJ48/'Deuda GNC'!AJ$110*100</f>
        <v>#DIV/0!</v>
      </c>
      <c r="AK95" s="477" t="e">
        <f>AK48/'Deuda GNC'!AK$110*100</f>
        <v>#DIV/0!</v>
      </c>
      <c r="AL95" s="477" t="e">
        <f>AL48/'Deuda GNC'!AL$110*100</f>
        <v>#DIV/0!</v>
      </c>
      <c r="AM95" s="378"/>
      <c r="AN95" s="378"/>
      <c r="AO95" s="378"/>
      <c r="AP95" s="378"/>
      <c r="AQ95" s="378"/>
      <c r="AR95" s="378"/>
      <c r="AS95" s="378"/>
      <c r="AT95" s="378"/>
      <c r="AU95" s="378"/>
      <c r="AV95" s="378"/>
      <c r="AW95" s="378"/>
      <c r="AX95" s="378"/>
      <c r="AY95" s="378"/>
    </row>
    <row r="96" spans="1:51" s="175" customFormat="1">
      <c r="B96" s="378"/>
      <c r="C96" s="378"/>
      <c r="D96" s="378"/>
      <c r="E96" s="378"/>
      <c r="F96" s="378"/>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8"/>
      <c r="AL96" s="378"/>
      <c r="AM96" s="378"/>
      <c r="AN96" s="378"/>
      <c r="AO96" s="378"/>
      <c r="AP96" s="378"/>
      <c r="AQ96" s="378"/>
      <c r="AR96" s="378"/>
      <c r="AS96" s="378"/>
      <c r="AT96" s="378"/>
      <c r="AU96" s="378"/>
      <c r="AV96" s="378"/>
      <c r="AW96" s="378"/>
      <c r="AX96" s="378"/>
      <c r="AY96" s="378"/>
    </row>
    <row r="99" spans="1:51" ht="21">
      <c r="A99" s="1" t="s">
        <v>294</v>
      </c>
    </row>
    <row r="101" spans="1:51" ht="69" customHeight="1">
      <c r="A101" s="811" t="s">
        <v>380</v>
      </c>
      <c r="B101" s="811"/>
      <c r="C101" s="811"/>
      <c r="D101" s="811"/>
      <c r="E101" s="811"/>
      <c r="F101" s="811"/>
      <c r="G101" s="811"/>
      <c r="H101" s="811"/>
      <c r="I101" s="811"/>
      <c r="J101" s="811"/>
      <c r="K101" s="811"/>
      <c r="L101" s="811"/>
      <c r="M101" s="811"/>
      <c r="N101" s="811"/>
      <c r="O101" s="811"/>
      <c r="P101" s="811"/>
      <c r="Q101" s="811"/>
      <c r="R101" s="811"/>
      <c r="S101" s="811"/>
      <c r="T101" s="811"/>
      <c r="U101" s="811"/>
      <c r="V101" s="811"/>
      <c r="W101" s="811"/>
      <c r="X101" s="811"/>
      <c r="Y101" s="811"/>
      <c r="Z101" s="811"/>
    </row>
    <row r="102" spans="1:51">
      <c r="A102" s="107"/>
      <c r="B102" s="107"/>
      <c r="C102" s="107"/>
      <c r="D102" s="107"/>
      <c r="E102" s="107"/>
      <c r="F102" s="107"/>
      <c r="G102" s="107"/>
      <c r="H102" s="107"/>
      <c r="I102" s="107"/>
      <c r="J102" s="107"/>
      <c r="K102" s="107"/>
      <c r="L102" s="107"/>
      <c r="M102" s="107"/>
    </row>
    <row r="103" spans="1:51">
      <c r="A103" s="107"/>
      <c r="B103" s="107"/>
      <c r="C103" s="107"/>
      <c r="D103" s="107"/>
      <c r="E103" s="107"/>
      <c r="F103" s="107"/>
      <c r="G103" s="107"/>
      <c r="H103" s="107"/>
      <c r="I103" s="107"/>
      <c r="J103" s="107"/>
      <c r="K103" s="107"/>
      <c r="L103" s="107"/>
      <c r="M103" s="107"/>
    </row>
    <row r="104" spans="1:51">
      <c r="A104" s="107"/>
      <c r="B104" s="107"/>
      <c r="C104" s="107"/>
      <c r="D104" s="107"/>
      <c r="E104" s="107"/>
      <c r="F104" s="107"/>
      <c r="G104" s="107"/>
      <c r="H104" s="107"/>
      <c r="I104" s="107"/>
      <c r="J104" s="107"/>
      <c r="K104" s="107"/>
      <c r="L104" s="107"/>
      <c r="M104" s="107"/>
    </row>
    <row r="105" spans="1:51" ht="54" customHeight="1">
      <c r="A105" s="779" t="s">
        <v>295</v>
      </c>
      <c r="B105" s="779"/>
      <c r="C105" s="779"/>
      <c r="D105" s="779"/>
      <c r="E105" s="779"/>
      <c r="F105" s="779"/>
      <c r="G105" s="779"/>
      <c r="H105" s="779"/>
      <c r="I105" s="779"/>
      <c r="J105" s="779"/>
      <c r="K105" s="779"/>
      <c r="L105" s="779"/>
      <c r="M105" s="779"/>
      <c r="N105" s="779"/>
      <c r="O105" s="779"/>
      <c r="P105" s="779"/>
      <c r="Q105" s="779"/>
      <c r="R105" s="779"/>
      <c r="S105" s="779"/>
      <c r="T105" s="779"/>
      <c r="U105" s="779"/>
      <c r="V105" s="779"/>
      <c r="W105" s="779"/>
      <c r="X105" s="779"/>
      <c r="Y105" s="779"/>
      <c r="Z105" s="779"/>
    </row>
    <row r="106" spans="1:51" ht="26" customHeight="1">
      <c r="A106" s="811" t="s">
        <v>296</v>
      </c>
      <c r="B106" s="811"/>
      <c r="C106" s="811"/>
      <c r="D106" s="811"/>
      <c r="E106" s="811"/>
      <c r="F106" s="811"/>
      <c r="G106" s="811"/>
      <c r="H106" s="811"/>
      <c r="I106" s="811"/>
      <c r="J106" s="811"/>
      <c r="K106" s="811"/>
      <c r="L106" s="811"/>
      <c r="M106" s="811"/>
      <c r="N106" s="811"/>
      <c r="O106" s="811"/>
      <c r="P106" s="811"/>
      <c r="Q106" s="811"/>
      <c r="R106" s="811"/>
      <c r="S106" s="811"/>
      <c r="T106" s="811"/>
      <c r="U106" s="811"/>
      <c r="V106" s="811"/>
      <c r="W106" s="811"/>
      <c r="X106" s="811"/>
      <c r="Y106" s="811"/>
      <c r="Z106" s="811"/>
    </row>
    <row r="107" spans="1:51" s="49" customFormat="1" ht="15" customHeight="1">
      <c r="A107" s="558"/>
      <c r="B107" s="558"/>
      <c r="C107" s="558"/>
      <c r="D107" s="558"/>
      <c r="E107" s="558"/>
      <c r="F107" s="558"/>
      <c r="G107" s="558"/>
      <c r="H107" s="558"/>
      <c r="I107" s="558"/>
      <c r="J107" s="558"/>
      <c r="K107" s="558"/>
      <c r="L107" s="558"/>
      <c r="M107" s="558"/>
      <c r="N107" s="558"/>
      <c r="O107" s="558"/>
      <c r="P107" s="558"/>
      <c r="Q107" s="558"/>
      <c r="R107" s="558"/>
      <c r="S107" s="558"/>
      <c r="T107" s="558"/>
      <c r="U107" s="558"/>
      <c r="V107" s="558"/>
      <c r="W107" s="558"/>
      <c r="X107" s="558"/>
      <c r="Y107" s="558"/>
      <c r="Z107" s="558"/>
      <c r="AA107" s="558"/>
      <c r="AB107" s="558"/>
      <c r="AC107" s="558"/>
      <c r="AD107" s="558"/>
      <c r="AE107" s="558"/>
      <c r="AF107" s="558"/>
      <c r="AG107" s="558"/>
      <c r="AH107" s="558"/>
      <c r="AI107" s="558"/>
      <c r="AJ107" s="558"/>
      <c r="AK107" s="558"/>
      <c r="AL107" s="558"/>
    </row>
    <row r="108" spans="1:51">
      <c r="Z108" s="478"/>
      <c r="AM108" s="378"/>
      <c r="AN108" s="378"/>
      <c r="AO108" s="378"/>
      <c r="AP108" s="378"/>
      <c r="AQ108" s="378"/>
      <c r="AR108" s="378"/>
      <c r="AS108" s="378"/>
      <c r="AT108" s="378"/>
      <c r="AU108" s="378"/>
      <c r="AV108" s="378"/>
      <c r="AW108" s="378"/>
      <c r="AX108" s="378"/>
      <c r="AY108" s="378"/>
    </row>
    <row r="109" spans="1:51" s="182" customFormat="1">
      <c r="A109" s="571" t="s">
        <v>297</v>
      </c>
      <c r="B109" s="586">
        <v>36525</v>
      </c>
      <c r="C109" s="586">
        <v>36891</v>
      </c>
      <c r="D109" s="586">
        <v>37256</v>
      </c>
      <c r="E109" s="586">
        <v>37621</v>
      </c>
      <c r="F109" s="586">
        <v>37986</v>
      </c>
      <c r="G109" s="586">
        <v>38352</v>
      </c>
      <c r="H109" s="586">
        <v>38717</v>
      </c>
      <c r="I109" s="586">
        <v>39082</v>
      </c>
      <c r="J109" s="586">
        <v>39447</v>
      </c>
      <c r="K109" s="586">
        <v>39813</v>
      </c>
      <c r="L109" s="586">
        <v>40178</v>
      </c>
      <c r="M109" s="586">
        <v>40543</v>
      </c>
      <c r="N109" s="586">
        <v>40908</v>
      </c>
      <c r="O109" s="586">
        <v>41274</v>
      </c>
      <c r="P109" s="586">
        <v>41639</v>
      </c>
      <c r="Q109" s="586">
        <v>42004</v>
      </c>
      <c r="R109" s="586">
        <v>42369</v>
      </c>
      <c r="S109" s="586">
        <v>42735</v>
      </c>
      <c r="T109" s="586">
        <v>43100</v>
      </c>
      <c r="U109" s="586">
        <v>43465</v>
      </c>
      <c r="V109" s="586">
        <v>43830</v>
      </c>
      <c r="W109" s="586">
        <v>44196</v>
      </c>
      <c r="X109" s="586">
        <v>44561</v>
      </c>
      <c r="Y109" s="586">
        <v>44926</v>
      </c>
      <c r="Z109" s="586">
        <v>45291</v>
      </c>
      <c r="AA109" s="586">
        <v>45657</v>
      </c>
      <c r="AB109" s="586">
        <v>46022</v>
      </c>
      <c r="AC109" s="586">
        <v>46387</v>
      </c>
      <c r="AD109" s="586">
        <v>46752</v>
      </c>
      <c r="AE109" s="586">
        <v>47118</v>
      </c>
      <c r="AF109" s="586">
        <v>47483</v>
      </c>
      <c r="AG109" s="586">
        <v>47848</v>
      </c>
      <c r="AH109" s="586">
        <v>48213</v>
      </c>
      <c r="AI109" s="586">
        <v>48579</v>
      </c>
      <c r="AJ109" s="586">
        <v>48944</v>
      </c>
      <c r="AK109" s="586">
        <v>49309</v>
      </c>
      <c r="AL109" s="587">
        <v>49310</v>
      </c>
      <c r="AM109" s="37"/>
      <c r="AN109" s="37"/>
      <c r="AO109" s="37"/>
      <c r="AP109" s="37"/>
      <c r="AQ109" s="37"/>
      <c r="AR109" s="37"/>
      <c r="AS109" s="37"/>
      <c r="AT109" s="37"/>
      <c r="AU109" s="37"/>
      <c r="AV109" s="37"/>
      <c r="AW109" s="37"/>
      <c r="AX109" s="37"/>
      <c r="AY109" s="37"/>
    </row>
    <row r="110" spans="1:51">
      <c r="A110" s="479" t="s">
        <v>298</v>
      </c>
      <c r="B110" s="383">
        <v>151565.005</v>
      </c>
      <c r="C110" s="383">
        <v>200762.30376926425</v>
      </c>
      <c r="D110" s="383">
        <v>219063.37191489359</v>
      </c>
      <c r="E110" s="383">
        <v>237505.58474136423</v>
      </c>
      <c r="F110" s="383">
        <v>268144.09650682396</v>
      </c>
      <c r="G110" s="383">
        <v>302514.65118942776</v>
      </c>
      <c r="H110" s="383">
        <v>337958</v>
      </c>
      <c r="I110" s="383">
        <v>381604</v>
      </c>
      <c r="J110" s="383">
        <v>428506</v>
      </c>
      <c r="K110" s="383">
        <v>476553.99999999942</v>
      </c>
      <c r="L110" s="383">
        <v>501573.9999999993</v>
      </c>
      <c r="M110" s="383">
        <v>544059.99999999953</v>
      </c>
      <c r="N110" s="383">
        <v>619022.99999999907</v>
      </c>
      <c r="O110" s="383">
        <v>666506.9999999993</v>
      </c>
      <c r="P110" s="383">
        <v>714092.9999999986</v>
      </c>
      <c r="Q110" s="383">
        <v>762902.99999999884</v>
      </c>
      <c r="R110" s="383">
        <v>804691.99999999884</v>
      </c>
      <c r="S110" s="383">
        <v>863781.99999999849</v>
      </c>
      <c r="T110" s="383">
        <v>920470.9999999993</v>
      </c>
      <c r="U110" s="383">
        <v>987791</v>
      </c>
      <c r="V110" s="383">
        <v>1060068</v>
      </c>
      <c r="W110" s="383">
        <v>997741.99999999802</v>
      </c>
      <c r="X110" s="383">
        <v>1192586.0000000021</v>
      </c>
      <c r="Y110" s="383">
        <v>1462522.43952969</v>
      </c>
      <c r="Z110" s="400">
        <f>'Deuda a emitir'!E8</f>
        <v>1572458.3388982201</v>
      </c>
      <c r="AA110" s="31">
        <f>'Deuda a emitir'!F8</f>
        <v>1572458.3388982201</v>
      </c>
      <c r="AB110" s="31">
        <f>'Deuda a emitir'!G8</f>
        <v>1572458.3388982201</v>
      </c>
      <c r="AC110" s="31">
        <f>'Deuda a emitir'!H8</f>
        <v>1572458.3388982201</v>
      </c>
      <c r="AD110" s="31">
        <f>'Deuda a emitir'!I8</f>
        <v>1572458.3388982201</v>
      </c>
      <c r="AE110" s="31">
        <f>'Deuda a emitir'!J8</f>
        <v>1572458.3388982201</v>
      </c>
      <c r="AF110" s="31">
        <f>'Deuda a emitir'!K8</f>
        <v>1572458.3388982201</v>
      </c>
      <c r="AG110" s="31">
        <f>'Deuda a emitir'!L8</f>
        <v>1572458.3388982201</v>
      </c>
      <c r="AH110" s="31">
        <f>'Deuda a emitir'!M8</f>
        <v>1572458.3388982201</v>
      </c>
      <c r="AI110" s="31">
        <f>'Deuda a emitir'!N8</f>
        <v>1572458.3388982201</v>
      </c>
      <c r="AJ110" s="31">
        <f>'Deuda a emitir'!O8</f>
        <v>1572458.3388982201</v>
      </c>
      <c r="AK110" s="31">
        <f>'Deuda a emitir'!P8</f>
        <v>1572458.3388982201</v>
      </c>
      <c r="AL110" s="480">
        <f>'Deuda a emitir'!Q8</f>
        <v>1572458.3388982201</v>
      </c>
      <c r="AM110" s="378"/>
      <c r="AN110" s="378"/>
      <c r="AO110" s="378"/>
      <c r="AP110" s="378"/>
      <c r="AQ110" s="378"/>
      <c r="AR110" s="378"/>
      <c r="AS110" s="378"/>
      <c r="AT110" s="378"/>
      <c r="AU110" s="378"/>
      <c r="AV110" s="378"/>
      <c r="AW110" s="378"/>
      <c r="AX110" s="378"/>
      <c r="AY110" s="378"/>
    </row>
    <row r="111" spans="1:51">
      <c r="A111" s="479" t="s">
        <v>299</v>
      </c>
      <c r="B111" s="433">
        <v>7.8882552335999057</v>
      </c>
      <c r="C111" s="433">
        <f t="shared" ref="C111:AL111" si="25">((C110/B110)-1)*100</f>
        <v>32.459536928900064</v>
      </c>
      <c r="D111" s="433">
        <f t="shared" si="25"/>
        <v>9.1157890709715694</v>
      </c>
      <c r="E111" s="433">
        <f t="shared" si="25"/>
        <v>8.4186656423947746</v>
      </c>
      <c r="F111" s="433">
        <f t="shared" si="25"/>
        <v>12.900122663988745</v>
      </c>
      <c r="G111" s="433">
        <f t="shared" si="25"/>
        <v>12.817941968649361</v>
      </c>
      <c r="H111" s="433">
        <f t="shared" si="25"/>
        <v>11.716242063389659</v>
      </c>
      <c r="I111" s="433">
        <f t="shared" si="25"/>
        <v>12.914622527059571</v>
      </c>
      <c r="J111" s="433">
        <f t="shared" si="25"/>
        <v>12.290751669269717</v>
      </c>
      <c r="K111" s="433">
        <f t="shared" si="25"/>
        <v>11.212911837873785</v>
      </c>
      <c r="L111" s="433">
        <f t="shared" si="25"/>
        <v>5.2501920034245586</v>
      </c>
      <c r="M111" s="433">
        <f t="shared" si="25"/>
        <v>8.4705347565863232</v>
      </c>
      <c r="N111" s="433">
        <f t="shared" si="25"/>
        <v>13.778443554019692</v>
      </c>
      <c r="O111" s="433">
        <f t="shared" si="25"/>
        <v>7.6707973694031262</v>
      </c>
      <c r="P111" s="433">
        <f t="shared" si="25"/>
        <v>7.1396099365797161</v>
      </c>
      <c r="Q111" s="433">
        <f t="shared" si="25"/>
        <v>6.8352441488714222</v>
      </c>
      <c r="R111" s="433">
        <f t="shared" si="25"/>
        <v>5.477629528262451</v>
      </c>
      <c r="S111" s="433">
        <f t="shared" si="25"/>
        <v>7.3431822361847532</v>
      </c>
      <c r="T111" s="433">
        <f t="shared" si="25"/>
        <v>6.5628827644013121</v>
      </c>
      <c r="U111" s="433">
        <f t="shared" si="25"/>
        <v>7.3136470350506189</v>
      </c>
      <c r="V111" s="433">
        <f t="shared" si="25"/>
        <v>7.3170336640038247</v>
      </c>
      <c r="W111" s="433">
        <f t="shared" si="25"/>
        <v>-5.8794341495075786</v>
      </c>
      <c r="X111" s="433">
        <f t="shared" si="25"/>
        <v>19.528495342483776</v>
      </c>
      <c r="Y111" s="433">
        <f t="shared" si="25"/>
        <v>22.634547070792998</v>
      </c>
      <c r="Z111" s="434">
        <f t="shared" si="25"/>
        <v>7.5168692388666969</v>
      </c>
      <c r="AA111" s="55">
        <f t="shared" si="25"/>
        <v>0</v>
      </c>
      <c r="AB111" s="55">
        <f t="shared" si="25"/>
        <v>0</v>
      </c>
      <c r="AC111" s="55">
        <f t="shared" si="25"/>
        <v>0</v>
      </c>
      <c r="AD111" s="55">
        <f t="shared" si="25"/>
        <v>0</v>
      </c>
      <c r="AE111" s="55">
        <f t="shared" si="25"/>
        <v>0</v>
      </c>
      <c r="AF111" s="55">
        <f t="shared" si="25"/>
        <v>0</v>
      </c>
      <c r="AG111" s="55">
        <f t="shared" si="25"/>
        <v>0</v>
      </c>
      <c r="AH111" s="55">
        <f t="shared" si="25"/>
        <v>0</v>
      </c>
      <c r="AI111" s="55">
        <f t="shared" si="25"/>
        <v>0</v>
      </c>
      <c r="AJ111" s="55">
        <f t="shared" si="25"/>
        <v>0</v>
      </c>
      <c r="AK111" s="55">
        <f t="shared" si="25"/>
        <v>0</v>
      </c>
      <c r="AL111" s="56">
        <f t="shared" si="25"/>
        <v>0</v>
      </c>
      <c r="AN111" s="378"/>
      <c r="AO111" s="378"/>
      <c r="AP111" s="378"/>
      <c r="AQ111" s="378"/>
      <c r="AR111" s="378"/>
      <c r="AS111" s="378"/>
      <c r="AT111" s="378"/>
      <c r="AU111" s="378"/>
      <c r="AV111" s="378"/>
      <c r="AW111" s="378"/>
      <c r="AX111" s="378"/>
      <c r="AY111" s="378"/>
    </row>
    <row r="112" spans="1:51">
      <c r="A112" s="479" t="s">
        <v>300</v>
      </c>
      <c r="B112" s="433">
        <v>-4.2040152436993106</v>
      </c>
      <c r="C112" s="433">
        <v>0.97329979686979762</v>
      </c>
      <c r="D112" s="433">
        <v>2.9704791014839582</v>
      </c>
      <c r="E112" s="433">
        <v>1.9915400356290247</v>
      </c>
      <c r="F112" s="433">
        <v>4.560975319753191</v>
      </c>
      <c r="G112" s="433">
        <v>4.2521587701046304</v>
      </c>
      <c r="H112" s="433">
        <v>4.7933599965399809</v>
      </c>
      <c r="I112" s="433">
        <v>6.7168686984440118</v>
      </c>
      <c r="J112" s="433">
        <v>6.738194690909749</v>
      </c>
      <c r="K112" s="433">
        <v>3.2834461861654063</v>
      </c>
      <c r="L112" s="433">
        <v>1.1396486454805954</v>
      </c>
      <c r="M112" s="433">
        <v>4.4946589707092199</v>
      </c>
      <c r="N112" s="433">
        <v>6.9478919817355544</v>
      </c>
      <c r="O112" s="433">
        <v>3.9126357671611434</v>
      </c>
      <c r="P112" s="433">
        <v>5.1339935199567144</v>
      </c>
      <c r="Q112" s="433">
        <v>4.4990300011097162</v>
      </c>
      <c r="R112" s="433">
        <v>2.9559013752752383</v>
      </c>
      <c r="S112" s="433">
        <v>2.0873825016279435</v>
      </c>
      <c r="T112" s="433">
        <v>1.3593608678874602</v>
      </c>
      <c r="U112" s="433">
        <v>2.5643242827770418</v>
      </c>
      <c r="V112" s="433">
        <v>3.1868553924553344</v>
      </c>
      <c r="W112" s="433">
        <v>-7.2522990749231848</v>
      </c>
      <c r="X112" s="433">
        <v>11.016193266978004</v>
      </c>
      <c r="Y112" s="433">
        <f>'Deuda a emitir'!D11*100</f>
        <v>7.2888838865514005</v>
      </c>
      <c r="Z112" s="434">
        <f>'Deuda a emitir'!E11*100</f>
        <v>0.61042650835119172</v>
      </c>
      <c r="AA112" s="55">
        <f>'Deuda a emitir'!F11*100</f>
        <v>0</v>
      </c>
      <c r="AB112" s="55">
        <f>'Deuda a emitir'!G11*100</f>
        <v>0</v>
      </c>
      <c r="AC112" s="55">
        <f>'Deuda a emitir'!H11*100</f>
        <v>0</v>
      </c>
      <c r="AD112" s="55">
        <f>'Deuda a emitir'!I11*100</f>
        <v>0</v>
      </c>
      <c r="AE112" s="55">
        <f>'Deuda a emitir'!J11*100</f>
        <v>0</v>
      </c>
      <c r="AF112" s="55">
        <f>'Deuda a emitir'!K11*100</f>
        <v>0</v>
      </c>
      <c r="AG112" s="55">
        <f>'Deuda a emitir'!L11*100</f>
        <v>0</v>
      </c>
      <c r="AH112" s="55">
        <f>'Deuda a emitir'!M11*100</f>
        <v>0</v>
      </c>
      <c r="AI112" s="55">
        <f>'Deuda a emitir'!N11*100</f>
        <v>0</v>
      </c>
      <c r="AJ112" s="55">
        <f>'Deuda a emitir'!O11*100</f>
        <v>0</v>
      </c>
      <c r="AK112" s="55">
        <f>'Deuda a emitir'!P11*100</f>
        <v>0</v>
      </c>
      <c r="AL112" s="56">
        <f>'Deuda a emitir'!Q11*100</f>
        <v>0</v>
      </c>
      <c r="AM112" s="378"/>
      <c r="AN112" s="378"/>
      <c r="AO112" s="378"/>
      <c r="AP112" s="378"/>
      <c r="AQ112" s="378"/>
      <c r="AR112" s="378"/>
      <c r="AS112" s="378"/>
      <c r="AT112" s="378"/>
      <c r="AU112" s="378"/>
      <c r="AV112" s="378"/>
      <c r="AW112" s="378"/>
      <c r="AX112" s="378"/>
      <c r="AY112" s="378"/>
    </row>
    <row r="113" spans="1:51">
      <c r="A113" s="481" t="s">
        <v>301</v>
      </c>
      <c r="B113" s="443">
        <v>9.2316540745348128</v>
      </c>
      <c r="C113" s="443">
        <v>8.7482000000000006</v>
      </c>
      <c r="D113" s="443">
        <v>7.6483040097600652</v>
      </c>
      <c r="E113" s="443">
        <v>6.9918404067033757</v>
      </c>
      <c r="F113" s="443">
        <v>6.4913617953455738</v>
      </c>
      <c r="G113" s="443">
        <v>5.4969828257933617</v>
      </c>
      <c r="H113" s="443">
        <v>4.8551654166048674</v>
      </c>
      <c r="I113" s="443">
        <v>4.4779483553561761</v>
      </c>
      <c r="J113" s="443">
        <v>5.6944612269421713</v>
      </c>
      <c r="K113" s="443">
        <v>7.6743713813311798</v>
      </c>
      <c r="L113" s="443">
        <v>2.0018080000000049</v>
      </c>
      <c r="M113" s="443">
        <v>3.1712222199041795</v>
      </c>
      <c r="N113" s="443">
        <v>3.7266851825832337</v>
      </c>
      <c r="O113" s="443">
        <v>2.44</v>
      </c>
      <c r="P113" s="443">
        <v>1.94</v>
      </c>
      <c r="Q113" s="443">
        <v>3.66</v>
      </c>
      <c r="R113" s="443">
        <v>6.77</v>
      </c>
      <c r="S113" s="443">
        <v>5.75</v>
      </c>
      <c r="T113" s="443">
        <v>4.09</v>
      </c>
      <c r="U113" s="443">
        <v>3.18</v>
      </c>
      <c r="V113" s="443">
        <v>3.8</v>
      </c>
      <c r="W113" s="443">
        <v>1.61</v>
      </c>
      <c r="X113" s="443">
        <v>5.62</v>
      </c>
      <c r="Y113" s="443">
        <f>'Deuda a emitir'!D12*100</f>
        <v>13.119999999999997</v>
      </c>
      <c r="Z113" s="444">
        <f>'Deuda a emitir'!E12*100</f>
        <v>9.2799999999999994</v>
      </c>
      <c r="AA113" s="52">
        <f>'Deuda a emitir'!F12*100</f>
        <v>0</v>
      </c>
      <c r="AB113" s="52">
        <f>'Deuda a emitir'!G12*100</f>
        <v>0</v>
      </c>
      <c r="AC113" s="52">
        <f>'Deuda a emitir'!H12*100</f>
        <v>0</v>
      </c>
      <c r="AD113" s="52">
        <f>'Deuda a emitir'!I12*100</f>
        <v>0</v>
      </c>
      <c r="AE113" s="52">
        <f>'Deuda a emitir'!J12*100</f>
        <v>0</v>
      </c>
      <c r="AF113" s="52">
        <f>'Deuda a emitir'!K12*100</f>
        <v>0</v>
      </c>
      <c r="AG113" s="52">
        <f>'Deuda a emitir'!L12*100</f>
        <v>0</v>
      </c>
      <c r="AH113" s="52">
        <f>'Deuda a emitir'!M12*100</f>
        <v>0</v>
      </c>
      <c r="AI113" s="52">
        <f>'Deuda a emitir'!N12*100</f>
        <v>0</v>
      </c>
      <c r="AJ113" s="52">
        <f>'Deuda a emitir'!O12*100</f>
        <v>0</v>
      </c>
      <c r="AK113" s="52">
        <f>'Deuda a emitir'!P12*100</f>
        <v>0</v>
      </c>
      <c r="AL113" s="53">
        <f>'Deuda a emitir'!Q12*100</f>
        <v>0</v>
      </c>
      <c r="AM113" s="378"/>
      <c r="AN113" s="378"/>
      <c r="AO113" s="378"/>
      <c r="AP113" s="378"/>
      <c r="AQ113" s="378"/>
      <c r="AR113" s="378"/>
      <c r="AS113" s="378"/>
      <c r="AT113" s="378"/>
      <c r="AU113" s="378"/>
      <c r="AV113" s="378"/>
      <c r="AW113" s="378"/>
      <c r="AX113" s="378"/>
      <c r="AY113" s="378"/>
    </row>
    <row r="114" spans="1:51">
      <c r="A114" s="481" t="s">
        <v>302</v>
      </c>
      <c r="B114" s="386">
        <v>1873.77</v>
      </c>
      <c r="C114" s="386">
        <v>2229.1799999999998</v>
      </c>
      <c r="D114" s="386">
        <v>2291.1799999999998</v>
      </c>
      <c r="E114" s="386">
        <v>2864.79</v>
      </c>
      <c r="F114" s="386">
        <v>2778.21</v>
      </c>
      <c r="G114" s="386">
        <v>2389.75</v>
      </c>
      <c r="H114" s="386">
        <v>2284.2199999999998</v>
      </c>
      <c r="I114" s="386">
        <v>2238.79</v>
      </c>
      <c r="J114" s="386">
        <v>2014.76</v>
      </c>
      <c r="K114" s="386">
        <v>2243.59</v>
      </c>
      <c r="L114" s="386">
        <v>2044.23</v>
      </c>
      <c r="M114" s="386">
        <v>1913.98</v>
      </c>
      <c r="N114" s="386">
        <v>1942.7</v>
      </c>
      <c r="O114" s="386">
        <v>1768.23</v>
      </c>
      <c r="P114" s="386">
        <v>1926.83</v>
      </c>
      <c r="Q114" s="386">
        <v>2392.46</v>
      </c>
      <c r="R114" s="386">
        <v>3149.47</v>
      </c>
      <c r="S114" s="386">
        <v>3000.71</v>
      </c>
      <c r="T114" s="386">
        <v>2984</v>
      </c>
      <c r="U114" s="386">
        <v>3249.75</v>
      </c>
      <c r="V114" s="386">
        <v>3277.14</v>
      </c>
      <c r="W114" s="386">
        <v>3432.5</v>
      </c>
      <c r="X114" s="386">
        <v>3981.16</v>
      </c>
      <c r="Y114" s="386">
        <v>4810</v>
      </c>
      <c r="Z114" s="482">
        <f>+'Deuda a emitir'!E14</f>
        <v>3822.05</v>
      </c>
      <c r="AA114" s="303">
        <f>+'Deuda a emitir'!F14</f>
        <v>0</v>
      </c>
      <c r="AB114" s="303">
        <f>+'Deuda a emitir'!G14</f>
        <v>0</v>
      </c>
      <c r="AC114" s="303">
        <f>+'Deuda a emitir'!H14</f>
        <v>0</v>
      </c>
      <c r="AD114" s="303">
        <f>+'Deuda a emitir'!I14</f>
        <v>0</v>
      </c>
      <c r="AE114" s="303">
        <f>+'Deuda a emitir'!J14</f>
        <v>0</v>
      </c>
      <c r="AF114" s="303">
        <f>+'Deuda a emitir'!K14</f>
        <v>0</v>
      </c>
      <c r="AG114" s="303">
        <f>+'Deuda a emitir'!L14</f>
        <v>0</v>
      </c>
      <c r="AH114" s="303">
        <f>+'Deuda a emitir'!M14</f>
        <v>0</v>
      </c>
      <c r="AI114" s="303">
        <f>+'Deuda a emitir'!N14</f>
        <v>0</v>
      </c>
      <c r="AJ114" s="303">
        <f>+'Deuda a emitir'!O14</f>
        <v>0</v>
      </c>
      <c r="AK114" s="303">
        <f>+'Deuda a emitir'!P14</f>
        <v>0</v>
      </c>
      <c r="AL114" s="483">
        <f>+'Deuda a emitir'!Q14</f>
        <v>0</v>
      </c>
      <c r="AM114" s="378"/>
      <c r="AN114" s="378"/>
      <c r="AO114" s="378"/>
      <c r="AP114" s="378"/>
      <c r="AQ114" s="378"/>
      <c r="AR114" s="378"/>
      <c r="AS114" s="378"/>
      <c r="AT114" s="378"/>
      <c r="AU114" s="378"/>
      <c r="AV114" s="378"/>
      <c r="AW114" s="378"/>
      <c r="AX114" s="378"/>
      <c r="AY114" s="378"/>
    </row>
    <row r="115" spans="1:51">
      <c r="A115" s="481" t="s">
        <v>303</v>
      </c>
      <c r="B115" s="443">
        <v>21.506896395198783</v>
      </c>
      <c r="C115" s="443">
        <f t="shared" ref="C115:AL115" si="26">((C114/B114)-1)*100</f>
        <v>18.96764277365952</v>
      </c>
      <c r="D115" s="443">
        <f t="shared" si="26"/>
        <v>2.7812917754510558</v>
      </c>
      <c r="E115" s="443">
        <f t="shared" si="26"/>
        <v>25.035571190390993</v>
      </c>
      <c r="F115" s="443">
        <f t="shared" si="26"/>
        <v>-3.022211052119006</v>
      </c>
      <c r="G115" s="443">
        <f t="shared" si="26"/>
        <v>-13.982384340996546</v>
      </c>
      <c r="H115" s="443">
        <f t="shared" si="26"/>
        <v>-4.4159430902814156</v>
      </c>
      <c r="I115" s="443">
        <f t="shared" si="26"/>
        <v>-1.9888627190025376</v>
      </c>
      <c r="J115" s="443">
        <f t="shared" si="26"/>
        <v>-10.006744714778959</v>
      </c>
      <c r="K115" s="443">
        <f t="shared" si="26"/>
        <v>11.357680319243979</v>
      </c>
      <c r="L115" s="443">
        <f t="shared" si="26"/>
        <v>-8.885758984484692</v>
      </c>
      <c r="M115" s="443">
        <f t="shared" si="26"/>
        <v>-6.3715922376640588</v>
      </c>
      <c r="N115" s="443">
        <f t="shared" si="26"/>
        <v>1.500538145644148</v>
      </c>
      <c r="O115" s="443">
        <f t="shared" si="26"/>
        <v>-8.9807999176404039</v>
      </c>
      <c r="P115" s="443">
        <f t="shared" si="26"/>
        <v>8.9694213987999269</v>
      </c>
      <c r="Q115" s="443">
        <f t="shared" si="26"/>
        <v>24.1655984181272</v>
      </c>
      <c r="R115" s="443">
        <f t="shared" si="26"/>
        <v>31.641490348845956</v>
      </c>
      <c r="S115" s="443">
        <f t="shared" si="26"/>
        <v>-4.7233344022962527</v>
      </c>
      <c r="T115" s="443">
        <f t="shared" si="26"/>
        <v>-0.55686820785747493</v>
      </c>
      <c r="U115" s="443">
        <f t="shared" si="26"/>
        <v>8.9058310991957157</v>
      </c>
      <c r="V115" s="443">
        <f t="shared" si="26"/>
        <v>0.8428340641587706</v>
      </c>
      <c r="W115" s="443">
        <f t="shared" si="26"/>
        <v>4.7407190416033584</v>
      </c>
      <c r="X115" s="443">
        <f t="shared" si="26"/>
        <v>15.984268026219951</v>
      </c>
      <c r="Y115" s="443">
        <f t="shared" si="26"/>
        <v>20.819057762059302</v>
      </c>
      <c r="Z115" s="444">
        <f t="shared" si="26"/>
        <v>-20.53950103950104</v>
      </c>
      <c r="AA115" s="52">
        <f t="shared" si="26"/>
        <v>-100</v>
      </c>
      <c r="AB115" s="52" t="e">
        <f t="shared" si="26"/>
        <v>#DIV/0!</v>
      </c>
      <c r="AC115" s="52" t="e">
        <f t="shared" si="26"/>
        <v>#DIV/0!</v>
      </c>
      <c r="AD115" s="52" t="e">
        <f t="shared" si="26"/>
        <v>#DIV/0!</v>
      </c>
      <c r="AE115" s="52" t="e">
        <f t="shared" si="26"/>
        <v>#DIV/0!</v>
      </c>
      <c r="AF115" s="52" t="e">
        <f t="shared" si="26"/>
        <v>#DIV/0!</v>
      </c>
      <c r="AG115" s="52" t="e">
        <f t="shared" si="26"/>
        <v>#DIV/0!</v>
      </c>
      <c r="AH115" s="52" t="e">
        <f t="shared" si="26"/>
        <v>#DIV/0!</v>
      </c>
      <c r="AI115" s="52" t="e">
        <f t="shared" si="26"/>
        <v>#DIV/0!</v>
      </c>
      <c r="AJ115" s="52" t="e">
        <f t="shared" si="26"/>
        <v>#DIV/0!</v>
      </c>
      <c r="AK115" s="52" t="e">
        <f t="shared" si="26"/>
        <v>#DIV/0!</v>
      </c>
      <c r="AL115" s="53" t="e">
        <f t="shared" si="26"/>
        <v>#DIV/0!</v>
      </c>
      <c r="AM115" s="378"/>
      <c r="AN115" s="378"/>
      <c r="AO115" s="378"/>
      <c r="AP115" s="378"/>
      <c r="AQ115" s="378"/>
      <c r="AR115" s="378"/>
      <c r="AS115" s="378"/>
      <c r="AT115" s="378"/>
      <c r="AU115" s="378"/>
      <c r="AV115" s="378"/>
      <c r="AW115" s="378"/>
      <c r="AX115" s="378"/>
      <c r="AY115" s="378"/>
    </row>
    <row r="116" spans="1:51">
      <c r="A116" s="481" t="s">
        <v>203</v>
      </c>
      <c r="B116" s="386">
        <v>1758.57714285714</v>
      </c>
      <c r="C116" s="386">
        <v>2087.4245491803276</v>
      </c>
      <c r="D116" s="386">
        <v>2299.77</v>
      </c>
      <c r="E116" s="386">
        <v>2507.96</v>
      </c>
      <c r="F116" s="386">
        <v>2875.9185989055086</v>
      </c>
      <c r="G116" s="386">
        <v>2628.4739890710375</v>
      </c>
      <c r="H116" s="386">
        <v>2321.4947671232826</v>
      </c>
      <c r="I116" s="386">
        <v>2358.9591218964083</v>
      </c>
      <c r="J116" s="386">
        <v>2076.2397534246529</v>
      </c>
      <c r="K116" s="386">
        <v>1967.1122677595615</v>
      </c>
      <c r="L116" s="386">
        <v>2153.2976986301351</v>
      </c>
      <c r="M116" s="386">
        <v>1898.8918617829613</v>
      </c>
      <c r="N116" s="386">
        <v>1846.9670958904089</v>
      </c>
      <c r="O116" s="386">
        <v>1798.23</v>
      </c>
      <c r="P116" s="386">
        <v>1868.9</v>
      </c>
      <c r="Q116" s="386">
        <v>2000.68</v>
      </c>
      <c r="R116" s="386">
        <v>2746.47</v>
      </c>
      <c r="S116" s="386">
        <v>3053.42</v>
      </c>
      <c r="T116" s="386">
        <v>2951.15</v>
      </c>
      <c r="U116" s="386">
        <v>2956.55</v>
      </c>
      <c r="V116" s="386">
        <v>3282.39</v>
      </c>
      <c r="W116" s="386">
        <v>3694</v>
      </c>
      <c r="X116" s="386">
        <v>3747.3</v>
      </c>
      <c r="Y116" s="386">
        <v>4256</v>
      </c>
      <c r="Z116" s="482">
        <f>+'Deuda a emitir'!E16</f>
        <v>4330.1400000000003</v>
      </c>
      <c r="AA116" s="303">
        <f>+'Deuda a emitir'!F16</f>
        <v>0</v>
      </c>
      <c r="AB116" s="303">
        <f>+'Deuda a emitir'!G16</f>
        <v>0</v>
      </c>
      <c r="AC116" s="303">
        <f>+'Deuda a emitir'!H16</f>
        <v>0</v>
      </c>
      <c r="AD116" s="303">
        <f>+'Deuda a emitir'!I16</f>
        <v>0</v>
      </c>
      <c r="AE116" s="303">
        <f>+'Deuda a emitir'!J16</f>
        <v>0</v>
      </c>
      <c r="AF116" s="303">
        <f>+'Deuda a emitir'!K16</f>
        <v>0</v>
      </c>
      <c r="AG116" s="303">
        <f>+'Deuda a emitir'!L16</f>
        <v>0</v>
      </c>
      <c r="AH116" s="303">
        <f>+'Deuda a emitir'!M16</f>
        <v>0</v>
      </c>
      <c r="AI116" s="303">
        <f>+'Deuda a emitir'!N16</f>
        <v>0</v>
      </c>
      <c r="AJ116" s="303">
        <f>+'Deuda a emitir'!O16</f>
        <v>0</v>
      </c>
      <c r="AK116" s="303">
        <f>+'Deuda a emitir'!P16</f>
        <v>0</v>
      </c>
      <c r="AL116" s="483">
        <f>+'Deuda a emitir'!Q16</f>
        <v>0</v>
      </c>
      <c r="AM116" s="378"/>
      <c r="AN116" s="378"/>
      <c r="AO116" s="378"/>
      <c r="AP116" s="378"/>
      <c r="AQ116" s="378"/>
      <c r="AR116" s="378"/>
      <c r="AS116" s="378"/>
      <c r="AT116" s="378"/>
      <c r="AU116" s="378"/>
      <c r="AV116" s="378"/>
      <c r="AW116" s="378"/>
      <c r="AX116" s="378"/>
      <c r="AY116" s="378"/>
    </row>
    <row r="117" spans="1:51">
      <c r="A117" s="479" t="s">
        <v>304</v>
      </c>
      <c r="B117" s="433">
        <v>23.232362509711436</v>
      </c>
      <c r="C117" s="433">
        <f t="shared" ref="C117:AL117" si="27">((C116/B116)-1)*100</f>
        <v>18.699629280346098</v>
      </c>
      <c r="D117" s="433">
        <f t="shared" si="27"/>
        <v>10.172604844714229</v>
      </c>
      <c r="E117" s="433">
        <f t="shared" si="27"/>
        <v>9.0526443948742763</v>
      </c>
      <c r="F117" s="433">
        <f t="shared" si="27"/>
        <v>14.671629487930771</v>
      </c>
      <c r="G117" s="433">
        <f t="shared" si="27"/>
        <v>-8.6040199443976348</v>
      </c>
      <c r="H117" s="433">
        <f t="shared" si="27"/>
        <v>-11.67899028958047</v>
      </c>
      <c r="I117" s="433">
        <f t="shared" si="27"/>
        <v>1.6138031109822482</v>
      </c>
      <c r="J117" s="433">
        <f t="shared" si="27"/>
        <v>-11.984920206861084</v>
      </c>
      <c r="K117" s="433">
        <f t="shared" si="27"/>
        <v>-5.2560156159755174</v>
      </c>
      <c r="L117" s="433">
        <f t="shared" si="27"/>
        <v>9.4649112774142239</v>
      </c>
      <c r="M117" s="433">
        <f t="shared" si="27"/>
        <v>-11.814708064241152</v>
      </c>
      <c r="N117" s="433">
        <f t="shared" si="27"/>
        <v>-2.734477246313427</v>
      </c>
      <c r="O117" s="433">
        <f t="shared" si="27"/>
        <v>-2.6387636249097901</v>
      </c>
      <c r="P117" s="433">
        <f t="shared" si="27"/>
        <v>3.9299755871051056</v>
      </c>
      <c r="Q117" s="433">
        <f t="shared" si="27"/>
        <v>7.0512065921130018</v>
      </c>
      <c r="R117" s="433">
        <f t="shared" si="27"/>
        <v>37.276825879201049</v>
      </c>
      <c r="S117" s="433">
        <f t="shared" si="27"/>
        <v>11.176164312736002</v>
      </c>
      <c r="T117" s="433">
        <f t="shared" si="27"/>
        <v>-3.3493590793274408</v>
      </c>
      <c r="U117" s="433">
        <f t="shared" si="27"/>
        <v>0.18297951645969146</v>
      </c>
      <c r="V117" s="433">
        <f t="shared" si="27"/>
        <v>11.020953476179995</v>
      </c>
      <c r="W117" s="433">
        <f t="shared" si="27"/>
        <v>12.539948025676416</v>
      </c>
      <c r="X117" s="433">
        <f t="shared" si="27"/>
        <v>1.4428803465078577</v>
      </c>
      <c r="Y117" s="433">
        <f t="shared" si="27"/>
        <v>13.575107410669007</v>
      </c>
      <c r="Z117" s="434">
        <f t="shared" si="27"/>
        <v>1.7420112781954877</v>
      </c>
      <c r="AA117" s="55">
        <f t="shared" si="27"/>
        <v>-100</v>
      </c>
      <c r="AB117" s="55" t="e">
        <f t="shared" si="27"/>
        <v>#DIV/0!</v>
      </c>
      <c r="AC117" s="55" t="e">
        <f t="shared" si="27"/>
        <v>#DIV/0!</v>
      </c>
      <c r="AD117" s="55" t="e">
        <f t="shared" si="27"/>
        <v>#DIV/0!</v>
      </c>
      <c r="AE117" s="55" t="e">
        <f t="shared" si="27"/>
        <v>#DIV/0!</v>
      </c>
      <c r="AF117" s="55" t="e">
        <f t="shared" si="27"/>
        <v>#DIV/0!</v>
      </c>
      <c r="AG117" s="55" t="e">
        <f t="shared" si="27"/>
        <v>#DIV/0!</v>
      </c>
      <c r="AH117" s="55" t="e">
        <f t="shared" si="27"/>
        <v>#DIV/0!</v>
      </c>
      <c r="AI117" s="55" t="e">
        <f t="shared" si="27"/>
        <v>#DIV/0!</v>
      </c>
      <c r="AJ117" s="55" t="e">
        <f t="shared" si="27"/>
        <v>#DIV/0!</v>
      </c>
      <c r="AK117" s="55" t="e">
        <f t="shared" si="27"/>
        <v>#DIV/0!</v>
      </c>
      <c r="AL117" s="56" t="e">
        <f t="shared" si="27"/>
        <v>#DIV/0!</v>
      </c>
      <c r="AM117" s="378"/>
      <c r="AN117" s="378"/>
      <c r="AO117" s="378"/>
      <c r="AP117" s="378"/>
      <c r="AQ117" s="378"/>
      <c r="AR117" s="378"/>
      <c r="AS117" s="378"/>
      <c r="AT117" s="378"/>
      <c r="AU117" s="378"/>
      <c r="AV117" s="378"/>
      <c r="AW117" s="378"/>
      <c r="AX117" s="378"/>
      <c r="AY117" s="378"/>
    </row>
    <row r="118" spans="1:51">
      <c r="A118" s="479" t="s">
        <v>305</v>
      </c>
      <c r="B118" s="433">
        <f>'Deuda GNC'!B73/'Deuda GNC'!B69*100</f>
        <v>42.523369196620102</v>
      </c>
      <c r="C118" s="433">
        <f>'Deuda GNC'!C73/'Deuda GNC'!C69*100</f>
        <v>42.213418957862494</v>
      </c>
      <c r="D118" s="433">
        <f>'Deuda GNC'!D73/'Deuda GNC'!D69*100</f>
        <v>44.20197102665233</v>
      </c>
      <c r="E118" s="433">
        <f>'Deuda GNC'!E73/'Deuda GNC'!E69*100</f>
        <v>45.956910201451059</v>
      </c>
      <c r="F118" s="433">
        <f>'Deuda GNC'!F73/'Deuda GNC'!F69*100</f>
        <v>45.458607983985907</v>
      </c>
      <c r="G118" s="433">
        <f>'Deuda GNC'!G73/'Deuda GNC'!G69*100</f>
        <v>40.432457212190634</v>
      </c>
      <c r="H118" s="433">
        <f>'Deuda GNC'!H73/'Deuda GNC'!H69*100</f>
        <v>32.543259197981996</v>
      </c>
      <c r="I118" s="433">
        <f>'Deuda GNC'!I73/'Deuda GNC'!I69*100</f>
        <v>33.049614890699239</v>
      </c>
      <c r="J118" s="433">
        <f>'Deuda GNC'!J73/'Deuda GNC'!J69*100</f>
        <v>30.497680018320704</v>
      </c>
      <c r="K118" s="433">
        <f>'Deuda GNC'!K73/'Deuda GNC'!K69*100</f>
        <v>31.712447492738256</v>
      </c>
      <c r="L118" s="433">
        <f>'Deuda GNC'!L73/'Deuda GNC'!L69*100</f>
        <v>29.871043211938712</v>
      </c>
      <c r="M118" s="433">
        <f>'Deuda GNC'!M73/'Deuda GNC'!M69*100</f>
        <v>28.177936283932148</v>
      </c>
      <c r="N118" s="433">
        <f>'Deuda GNC'!N73/'Deuda GNC'!N69*100</f>
        <v>28.658253312218861</v>
      </c>
      <c r="O118" s="433">
        <f>'Deuda GNC'!O73/'Deuda GNC'!O69*100</f>
        <v>26.439501535356484</v>
      </c>
      <c r="P118" s="433">
        <f>'Deuda GNC'!P73/'Deuda GNC'!P69*100</f>
        <v>27.257898015835824</v>
      </c>
      <c r="Q118" s="433">
        <f>'Deuda GNC'!Q73/'Deuda GNC'!Q69*100</f>
        <v>31.180175679279269</v>
      </c>
      <c r="R118" s="433">
        <f>'Deuda GNC'!R73/'Deuda GNC'!R69*100</f>
        <v>36.894638636061785</v>
      </c>
      <c r="S118" s="433">
        <f>'Deuda GNC'!S73/'Deuda GNC'!S69*100</f>
        <v>33.687642818897373</v>
      </c>
      <c r="T118" s="433">
        <f>'Deuda GNC'!T73/'Deuda GNC'!T69*100</f>
        <v>33.476497021102517</v>
      </c>
      <c r="U118" s="433">
        <f>'Deuda GNC'!U73/'Deuda GNC'!U69*100</f>
        <v>33.882813821926355</v>
      </c>
      <c r="V118" s="433">
        <f>'Deuda GNC'!V73/'Deuda GNC'!V69*100</f>
        <v>31.744148752387908</v>
      </c>
      <c r="W118" s="433">
        <f>'Deuda GNC'!W73/'Deuda GNC'!W69*100</f>
        <v>35.552642708863701</v>
      </c>
      <c r="X118" s="433">
        <f>'Deuda GNC'!X73/'Deuda GNC'!X69*100</f>
        <v>39.824897387333266</v>
      </c>
      <c r="Y118" s="433">
        <f>'Deuda GNC'!Y73/'Deuda GNC'!Y69*100</f>
        <v>41.636613187226985</v>
      </c>
      <c r="Z118" s="434">
        <f>'Deuda GNC'!Z73/'Deuda GNC'!Z69*100</f>
        <v>34.388808861953322</v>
      </c>
      <c r="AA118" s="55" t="e">
        <f>'Deuda GNC'!AA73/'Deuda GNC'!AA69*100</f>
        <v>#DIV/0!</v>
      </c>
      <c r="AB118" s="55" t="e">
        <f>'Deuda GNC'!AB73/'Deuda GNC'!AB69*100</f>
        <v>#DIV/0!</v>
      </c>
      <c r="AC118" s="55" t="e">
        <f>'Deuda GNC'!AC73/'Deuda GNC'!AC69*100</f>
        <v>#DIV/0!</v>
      </c>
      <c r="AD118" s="55" t="e">
        <f>'Deuda GNC'!AD73/'Deuda GNC'!AD69*100</f>
        <v>#DIV/0!</v>
      </c>
      <c r="AE118" s="55" t="e">
        <f>'Deuda GNC'!AE73/'Deuda GNC'!AE69*100</f>
        <v>#DIV/0!</v>
      </c>
      <c r="AF118" s="55" t="e">
        <f>'Deuda GNC'!AF73/'Deuda GNC'!AF69*100</f>
        <v>#DIV/0!</v>
      </c>
      <c r="AG118" s="55" t="e">
        <f>'Deuda GNC'!AG73/'Deuda GNC'!AG69*100</f>
        <v>#DIV/0!</v>
      </c>
      <c r="AH118" s="55" t="e">
        <f>'Deuda GNC'!AH73/'Deuda GNC'!AH69*100</f>
        <v>#DIV/0!</v>
      </c>
      <c r="AI118" s="55" t="e">
        <f>'Deuda GNC'!AI73/'Deuda GNC'!AI69*100</f>
        <v>#DIV/0!</v>
      </c>
      <c r="AJ118" s="55" t="e">
        <f>'Deuda GNC'!AJ73/'Deuda GNC'!AJ69*100</f>
        <v>#DIV/0!</v>
      </c>
      <c r="AK118" s="55" t="e">
        <f>'Deuda GNC'!AK73/'Deuda GNC'!AK69*100</f>
        <v>#DIV/0!</v>
      </c>
      <c r="AL118" s="56" t="e">
        <f>'Deuda GNC'!AL73/'Deuda GNC'!AL69*100</f>
        <v>#DIV/0!</v>
      </c>
      <c r="AM118" s="378"/>
      <c r="AN118" s="378"/>
      <c r="AO118" s="378"/>
      <c r="AP118" s="378"/>
      <c r="AQ118" s="378"/>
      <c r="AR118" s="378"/>
      <c r="AS118" s="378"/>
      <c r="AT118" s="378"/>
      <c r="AU118" s="378"/>
      <c r="AV118" s="378"/>
      <c r="AW118" s="378"/>
      <c r="AX118" s="378"/>
      <c r="AY118" s="378"/>
    </row>
    <row r="119" spans="1:51">
      <c r="A119" s="479" t="s">
        <v>306</v>
      </c>
      <c r="B119" s="433">
        <v>-4.2794896475390347</v>
      </c>
      <c r="C119" s="433">
        <v>-1.4893641356065417</v>
      </c>
      <c r="D119" s="433">
        <v>-1.4091481238925774</v>
      </c>
      <c r="E119" s="433">
        <v>-1.7310970318957071</v>
      </c>
      <c r="F119" s="433">
        <v>-0.48877448213906943</v>
      </c>
      <c r="G119" s="433">
        <v>-0.93683306688121304</v>
      </c>
      <c r="H119" s="433">
        <v>-0.88562840036689061</v>
      </c>
      <c r="I119" s="433">
        <v>0.23472553640037341</v>
      </c>
      <c r="J119" s="433">
        <v>1.002239972811533</v>
      </c>
      <c r="K119" s="433">
        <v>0.90185179294328655</v>
      </c>
      <c r="L119" s="433">
        <v>-1.1096844851208436</v>
      </c>
      <c r="M119" s="433">
        <v>-1.1344431298088549</v>
      </c>
      <c r="N119" s="433">
        <v>-0.11444338688612456</v>
      </c>
      <c r="O119" s="433">
        <v>0.24172927284944751</v>
      </c>
      <c r="P119" s="433">
        <v>-3.9480641665590607E-2</v>
      </c>
      <c r="Q119" s="433">
        <v>-0.18048234968856788</v>
      </c>
      <c r="R119" s="433">
        <v>-0.45020642068323613</v>
      </c>
      <c r="S119" s="433">
        <v>-1.1048773145732005</v>
      </c>
      <c r="T119" s="433">
        <v>-0.76249404558689915</v>
      </c>
      <c r="U119" s="433">
        <v>-0.34164852666381285</v>
      </c>
      <c r="V119" s="433">
        <v>0.44826667284460664</v>
      </c>
      <c r="W119" s="433">
        <v>-4.9538958629533534</v>
      </c>
      <c r="X119" s="433">
        <v>-3.6451099520905785</v>
      </c>
      <c r="Y119" s="433">
        <v>-0.98560702258717359</v>
      </c>
      <c r="Z119" s="434">
        <f>'Deuda a emitir'!E107*100</f>
        <v>0</v>
      </c>
      <c r="AA119" s="55">
        <f>'Deuda a emitir'!F107*100</f>
        <v>0</v>
      </c>
      <c r="AB119" s="55">
        <f>'Deuda a emitir'!G107*100</f>
        <v>0</v>
      </c>
      <c r="AC119" s="55">
        <f>'Deuda a emitir'!H107*100</f>
        <v>0</v>
      </c>
      <c r="AD119" s="55">
        <f>'Deuda a emitir'!I107*100</f>
        <v>0</v>
      </c>
      <c r="AE119" s="55">
        <f>'Deuda a emitir'!J107*100</f>
        <v>0</v>
      </c>
      <c r="AF119" s="55">
        <f>'Deuda a emitir'!K107*100</f>
        <v>0</v>
      </c>
      <c r="AG119" s="55">
        <f>'Deuda a emitir'!L107*100</f>
        <v>0</v>
      </c>
      <c r="AH119" s="55">
        <f>'Deuda a emitir'!M107*100</f>
        <v>0</v>
      </c>
      <c r="AI119" s="55">
        <f>'Deuda a emitir'!N107*100</f>
        <v>0</v>
      </c>
      <c r="AJ119" s="55">
        <f>'Deuda a emitir'!O107*100</f>
        <v>0</v>
      </c>
      <c r="AK119" s="55">
        <f>'Deuda a emitir'!P107*100</f>
        <v>0</v>
      </c>
      <c r="AL119" s="56">
        <f>'Deuda a emitir'!Q107*100</f>
        <v>0</v>
      </c>
      <c r="AM119" s="378"/>
      <c r="AN119" s="378"/>
      <c r="AO119" s="378"/>
      <c r="AP119" s="378"/>
      <c r="AQ119" s="378"/>
      <c r="AR119" s="378"/>
      <c r="AS119" s="378"/>
      <c r="AT119" s="378"/>
      <c r="AU119" s="378"/>
      <c r="AV119" s="378"/>
      <c r="AW119" s="378"/>
      <c r="AX119" s="378"/>
      <c r="AY119" s="378"/>
    </row>
    <row r="120" spans="1:51">
      <c r="A120" s="479" t="s">
        <v>307</v>
      </c>
      <c r="B120" s="433"/>
      <c r="C120" s="433"/>
      <c r="D120" s="433"/>
      <c r="E120" s="433"/>
      <c r="F120" s="433"/>
      <c r="G120" s="433"/>
      <c r="H120" s="433"/>
      <c r="I120" s="433"/>
      <c r="J120" s="433"/>
      <c r="K120" s="433"/>
      <c r="L120" s="433"/>
      <c r="M120" s="433"/>
      <c r="N120" s="433"/>
      <c r="O120" s="433"/>
      <c r="P120" s="433"/>
      <c r="Q120" s="433"/>
      <c r="R120" s="433"/>
      <c r="S120" s="433"/>
      <c r="T120" s="433"/>
      <c r="U120" s="433"/>
      <c r="V120" s="433"/>
      <c r="W120" s="433"/>
      <c r="X120" s="433"/>
      <c r="Y120" s="433"/>
      <c r="Z120" s="434"/>
      <c r="AA120" s="55">
        <f>'Deuda a emitir'!F102*100</f>
        <v>0</v>
      </c>
      <c r="AB120" s="55">
        <f>'Deuda a emitir'!G102*100</f>
        <v>0</v>
      </c>
      <c r="AC120" s="55">
        <f>'Deuda a emitir'!H102*100</f>
        <v>0</v>
      </c>
      <c r="AD120" s="55">
        <f>'Deuda a emitir'!I102*100</f>
        <v>0</v>
      </c>
      <c r="AE120" s="55">
        <f>'Deuda a emitir'!J102*100</f>
        <v>0</v>
      </c>
      <c r="AF120" s="55">
        <f>'Deuda a emitir'!K102*100</f>
        <v>0</v>
      </c>
      <c r="AG120" s="55">
        <f>'Deuda a emitir'!L102*100</f>
        <v>0</v>
      </c>
      <c r="AH120" s="55">
        <f>'Deuda a emitir'!M102*100</f>
        <v>0</v>
      </c>
      <c r="AI120" s="55">
        <f>'Deuda a emitir'!N102*100</f>
        <v>0</v>
      </c>
      <c r="AJ120" s="55">
        <f>'Deuda a emitir'!O102*100</f>
        <v>0</v>
      </c>
      <c r="AK120" s="55">
        <f>'Deuda a emitir'!P102*100</f>
        <v>0</v>
      </c>
      <c r="AL120" s="56">
        <f>'Deuda a emitir'!Q102*100</f>
        <v>0</v>
      </c>
      <c r="AM120" s="378"/>
      <c r="AN120" s="378"/>
      <c r="AO120" s="378"/>
      <c r="AP120" s="378"/>
      <c r="AQ120" s="378"/>
      <c r="AR120" s="378"/>
      <c r="AS120" s="378"/>
      <c r="AT120" s="378"/>
      <c r="AU120" s="378"/>
      <c r="AV120" s="378"/>
      <c r="AW120" s="378"/>
      <c r="AX120" s="378"/>
      <c r="AY120" s="378"/>
    </row>
    <row r="121" spans="1:51">
      <c r="A121" s="479" t="s">
        <v>308</v>
      </c>
      <c r="B121" s="433"/>
      <c r="C121" s="433"/>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433"/>
      <c r="Z121" s="434"/>
      <c r="AA121" s="55">
        <f>'Deuda a emitir'!F103*100</f>
        <v>0</v>
      </c>
      <c r="AB121" s="55">
        <f>'Deuda a emitir'!G103*100</f>
        <v>0</v>
      </c>
      <c r="AC121" s="55">
        <f>'Deuda a emitir'!H103*100</f>
        <v>0</v>
      </c>
      <c r="AD121" s="55">
        <f>'Deuda a emitir'!I103*100</f>
        <v>0</v>
      </c>
      <c r="AE121" s="55">
        <f>'Deuda a emitir'!J103*100</f>
        <v>0</v>
      </c>
      <c r="AF121" s="55">
        <f>'Deuda a emitir'!K103*100</f>
        <v>0</v>
      </c>
      <c r="AG121" s="55">
        <f>'Deuda a emitir'!L103*100</f>
        <v>0</v>
      </c>
      <c r="AH121" s="55">
        <f>'Deuda a emitir'!M103*100</f>
        <v>0</v>
      </c>
      <c r="AI121" s="55">
        <f>'Deuda a emitir'!N103*100</f>
        <v>0</v>
      </c>
      <c r="AJ121" s="55">
        <f>'Deuda a emitir'!O103*100</f>
        <v>0</v>
      </c>
      <c r="AK121" s="55">
        <f>'Deuda a emitir'!P103*100</f>
        <v>0</v>
      </c>
      <c r="AL121" s="56">
        <f>'Deuda a emitir'!Q103*100</f>
        <v>0</v>
      </c>
      <c r="AM121" s="378"/>
      <c r="AN121" s="378"/>
      <c r="AO121" s="378"/>
      <c r="AP121" s="378"/>
      <c r="AQ121" s="378"/>
      <c r="AR121" s="378"/>
      <c r="AS121" s="378"/>
      <c r="AT121" s="378"/>
      <c r="AU121" s="378"/>
      <c r="AV121" s="378"/>
      <c r="AW121" s="378"/>
      <c r="AX121" s="378"/>
      <c r="AY121" s="378"/>
    </row>
    <row r="122" spans="1:51">
      <c r="A122" s="479" t="s">
        <v>309</v>
      </c>
      <c r="B122" s="433"/>
      <c r="C122" s="433"/>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4"/>
      <c r="AA122" s="55">
        <f>(AA120*'Deuda a emitir'!F19)+(AA121*'Deuda a emitir'!F20)</f>
        <v>0</v>
      </c>
      <c r="AB122" s="55">
        <f>(AB120*'Deuda a emitir'!G19)+(AB121*'Deuda a emitir'!G20)</f>
        <v>0</v>
      </c>
      <c r="AC122" s="55">
        <f>(AC120*'Deuda a emitir'!H19)+(AC121*'Deuda a emitir'!H20)</f>
        <v>0</v>
      </c>
      <c r="AD122" s="55">
        <f>(AD120*'Deuda a emitir'!I19)+(AD121*'Deuda a emitir'!I20)</f>
        <v>0</v>
      </c>
      <c r="AE122" s="55">
        <f>(AE120*'Deuda a emitir'!J19)+(AE121*'Deuda a emitir'!J20)</f>
        <v>0</v>
      </c>
      <c r="AF122" s="55">
        <f>(AF120*'Deuda a emitir'!K19)+(AF121*'Deuda a emitir'!K20)</f>
        <v>0</v>
      </c>
      <c r="AG122" s="55">
        <f>(AG120*'Deuda a emitir'!L19)+(AG121*'Deuda a emitir'!L20)</f>
        <v>0</v>
      </c>
      <c r="AH122" s="55">
        <f>(AH120*'Deuda a emitir'!M19)+(AH121*'Deuda a emitir'!M20)</f>
        <v>0</v>
      </c>
      <c r="AI122" s="55">
        <f>(AI120*'Deuda a emitir'!N19)+(AI121*'Deuda a emitir'!N20)</f>
        <v>0</v>
      </c>
      <c r="AJ122" s="55">
        <f>(AJ120*'Deuda a emitir'!O19)+(AJ121*'Deuda a emitir'!O20)</f>
        <v>0</v>
      </c>
      <c r="AK122" s="55">
        <f>(AK120*'Deuda a emitir'!P19)+(AK121*'Deuda a emitir'!P20)</f>
        <v>0</v>
      </c>
      <c r="AL122" s="56">
        <f>(AL120*'Deuda a emitir'!Q19)+(AL121*'Deuda a emitir'!Q20)</f>
        <v>0</v>
      </c>
      <c r="AM122" s="378"/>
      <c r="AN122" s="378"/>
      <c r="AO122" s="378"/>
      <c r="AP122" s="378"/>
      <c r="AQ122" s="378"/>
      <c r="AR122" s="378"/>
      <c r="AS122" s="378"/>
      <c r="AT122" s="378"/>
      <c r="AU122" s="378"/>
      <c r="AV122" s="378"/>
      <c r="AW122" s="378"/>
      <c r="AX122" s="378"/>
      <c r="AY122" s="378"/>
    </row>
    <row r="123" spans="1:51">
      <c r="A123" s="484" t="s">
        <v>310</v>
      </c>
      <c r="B123" s="433"/>
      <c r="C123" s="433">
        <f>(('Deuda GNC'!C32)/'Deuda GNC'!B25)*100</f>
        <v>15.239957966166271</v>
      </c>
      <c r="D123" s="433">
        <f>(('Deuda GNC'!D32)/'Deuda GNC'!C25)*100</f>
        <v>10.498828857043849</v>
      </c>
      <c r="E123" s="433">
        <f>(('Deuda GNC'!E32)/'Deuda GNC'!D25)*100</f>
        <v>9.0063472593648068</v>
      </c>
      <c r="F123" s="433">
        <f>(('Deuda GNC'!F32)/'Deuda GNC'!E25)*100</f>
        <v>8.9298835491192428</v>
      </c>
      <c r="G123" s="433">
        <f>(('Deuda GNC'!G32)/'Deuda GNC'!F25)*100</f>
        <v>8.995561934692379</v>
      </c>
      <c r="H123" s="433">
        <f>(('Deuda GNC'!H32)/'Deuda GNC'!G25)*100</f>
        <v>7.5157103313400393</v>
      </c>
      <c r="I123" s="433">
        <f>(('Deuda GNC'!I32)/'Deuda GNC'!H25)*100</f>
        <v>10.168974972021491</v>
      </c>
      <c r="J123" s="433">
        <f>(('Deuda GNC'!J32)/'Deuda GNC'!I25)*100</f>
        <v>11.426911269813822</v>
      </c>
      <c r="K123" s="433">
        <f>(('Deuda GNC'!K32)/'Deuda GNC'!J25)*100</f>
        <v>9.6382562287799338</v>
      </c>
      <c r="L123" s="433">
        <f>(('Deuda GNC'!L32)/'Deuda GNC'!K25)*100</f>
        <v>9.3566730631243296</v>
      </c>
      <c r="M123" s="433">
        <f>(('Deuda GNC'!M32)/'Deuda GNC'!L25)*100</f>
        <v>8.2153641212185811</v>
      </c>
      <c r="N123" s="433">
        <f>(('Deuda GNC'!N32)/'Deuda GNC'!M25)*100</f>
        <v>8.3492769656077677</v>
      </c>
      <c r="O123" s="433">
        <f>(('Deuda GNC'!O32)/'Deuda GNC'!N25)*100</f>
        <v>8.2545067480948937</v>
      </c>
      <c r="P123" s="433">
        <f>(('Deuda GNC'!P32)/'Deuda GNC'!O25)*100</f>
        <v>7.5422369594449563</v>
      </c>
      <c r="Q123" s="433">
        <f>(('Deuda GNC'!Q32)/'Deuda GNC'!P25)*100</f>
        <v>6.6718374533442333</v>
      </c>
      <c r="R123" s="433">
        <f>(('Deuda GNC'!R32)/'Deuda GNC'!Q25)*100</f>
        <v>6.3530672640821972</v>
      </c>
      <c r="S123" s="433">
        <f>(('Deuda GNC'!S32)/'Deuda GNC'!R25)*100</f>
        <v>7.3383565654250305</v>
      </c>
      <c r="T123" s="433">
        <f>(('Deuda GNC'!T32)/'Deuda GNC'!S25)*100</f>
        <v>7.0172805807095351</v>
      </c>
      <c r="U123" s="433">
        <f>(('Deuda GNC'!U32)/'Deuda GNC'!T25)*100</f>
        <v>6.7567969072918439</v>
      </c>
      <c r="V123" s="433">
        <f>(('Deuda GNC'!V32)/'Deuda GNC'!U25)*100</f>
        <v>6.3726293678121992</v>
      </c>
      <c r="W123" s="433">
        <f>(('Deuda GNC'!W32)/'Deuda GNC'!V25)*100</f>
        <v>5.2044349522307094</v>
      </c>
      <c r="X123" s="433">
        <f>(('Deuda GNC'!X32)/'Deuda GNC'!W25)*100</f>
        <v>6.3167361149525716</v>
      </c>
      <c r="Y123" s="433">
        <f>(('Deuda GNC'!Y32)/'Deuda GNC'!X25)*100</f>
        <v>8.2086372949732667</v>
      </c>
      <c r="Z123" s="434">
        <f>(('Deuda GNC'!Z32)/'Deuda GNC'!Y25)*100</f>
        <v>6.4985594082157245</v>
      </c>
      <c r="AA123" s="55">
        <f>(('Deuda GNC'!AA32)/'Deuda GNC'!Z25)*100</f>
        <v>8.5940163085054646</v>
      </c>
      <c r="AB123" s="55" t="e">
        <f>(('Deuda GNC'!AB32)/'Deuda GNC'!AA25)*100</f>
        <v>#DIV/0!</v>
      </c>
      <c r="AC123" s="55" t="e">
        <f>(('Deuda GNC'!AC32)/'Deuda GNC'!AB25)*100</f>
        <v>#DIV/0!</v>
      </c>
      <c r="AD123" s="55" t="e">
        <f>(('Deuda GNC'!AD32)/'Deuda GNC'!AC25)*100</f>
        <v>#DIV/0!</v>
      </c>
      <c r="AE123" s="55" t="e">
        <f>(('Deuda GNC'!AE32)/'Deuda GNC'!AD25)*100</f>
        <v>#DIV/0!</v>
      </c>
      <c r="AF123" s="55" t="e">
        <f>(('Deuda GNC'!AF32)/'Deuda GNC'!AE25)*100</f>
        <v>#DIV/0!</v>
      </c>
      <c r="AG123" s="55" t="e">
        <f>(('Deuda GNC'!AG32)/'Deuda GNC'!AF25)*100</f>
        <v>#DIV/0!</v>
      </c>
      <c r="AH123" s="55" t="e">
        <f>(('Deuda GNC'!AH32)/'Deuda GNC'!AG25)*100</f>
        <v>#DIV/0!</v>
      </c>
      <c r="AI123" s="55" t="e">
        <f>(('Deuda GNC'!AI32)/'Deuda GNC'!AH25)*100</f>
        <v>#DIV/0!</v>
      </c>
      <c r="AJ123" s="55" t="e">
        <f>(('Deuda GNC'!AJ32)/'Deuda GNC'!AI25)*100</f>
        <v>#DIV/0!</v>
      </c>
      <c r="AK123" s="55" t="e">
        <f>(('Deuda GNC'!AK32)/'Deuda GNC'!AJ25)*100</f>
        <v>#DIV/0!</v>
      </c>
      <c r="AL123" s="56" t="e">
        <f>(('Deuda GNC'!AL32)/'Deuda GNC'!AK25)*100</f>
        <v>#DIV/0!</v>
      </c>
      <c r="AM123" s="378"/>
      <c r="AN123" s="378"/>
      <c r="AO123" s="378"/>
      <c r="AP123" s="378"/>
      <c r="AQ123" s="378"/>
      <c r="AR123" s="378"/>
      <c r="AS123" s="378"/>
      <c r="AT123" s="378"/>
      <c r="AU123" s="378"/>
      <c r="AV123" s="378"/>
      <c r="AW123" s="378"/>
      <c r="AX123" s="378"/>
      <c r="AY123" s="378"/>
    </row>
    <row r="124" spans="1:51">
      <c r="A124" s="484" t="s">
        <v>311</v>
      </c>
      <c r="B124" s="433"/>
      <c r="C124" s="433">
        <f>(('Deuda GNC'!C31)/'Deuda GNC'!B25)*100</f>
        <v>15.461617430943225</v>
      </c>
      <c r="D124" s="433">
        <f>(('Deuda GNC'!D31)/'Deuda GNC'!C25)*100</f>
        <v>11.13624066786188</v>
      </c>
      <c r="E124" s="433">
        <f>(('Deuda GNC'!E31)/'Deuda GNC'!D25)*100</f>
        <v>9.8914538280504196</v>
      </c>
      <c r="F124" s="433">
        <f>(('Deuda GNC'!F31)/'Deuda GNC'!E25)*100</f>
        <v>9.8757967460982119</v>
      </c>
      <c r="G124" s="433">
        <f>(('Deuda GNC'!G31)/'Deuda GNC'!F25)*100</f>
        <v>9.9266340223810641</v>
      </c>
      <c r="H124" s="433">
        <f>(('Deuda GNC'!H31)/'Deuda GNC'!G25)*100</f>
        <v>8.3664180543026898</v>
      </c>
      <c r="I124" s="433">
        <f>(('Deuda GNC'!I31)/'Deuda GNC'!H25)*100</f>
        <v>10.860015938170047</v>
      </c>
      <c r="J124" s="433">
        <f>(('Deuda GNC'!J31)/'Deuda GNC'!I25)*100</f>
        <v>12.340274079973087</v>
      </c>
      <c r="K124" s="433">
        <f>(('Deuda GNC'!K31)/'Deuda GNC'!J25)*100</f>
        <v>10.993107378029773</v>
      </c>
      <c r="L124" s="433">
        <f>(('Deuda GNC'!L31)/'Deuda GNC'!K25)*100</f>
        <v>9.8503815536483934</v>
      </c>
      <c r="M124" s="433">
        <f>(('Deuda GNC'!M31)/'Deuda GNC'!L25)*100</f>
        <v>8.7088052929865611</v>
      </c>
      <c r="N124" s="433">
        <f>(('Deuda GNC'!N31)/'Deuda GNC'!M25)*100</f>
        <v>9.1526679814100707</v>
      </c>
      <c r="O124" s="433">
        <f>(('Deuda GNC'!O31)/'Deuda GNC'!N25)*100</f>
        <v>8.8971312783105514</v>
      </c>
      <c r="P124" s="433">
        <f>(('Deuda GNC'!P31)/'Deuda GNC'!O25)*100</f>
        <v>7.8861440437383985</v>
      </c>
      <c r="Q124" s="433">
        <f>(('Deuda GNC'!Q31)/'Deuda GNC'!P25)*100</f>
        <v>7.4521178673174164</v>
      </c>
      <c r="R124" s="433">
        <f>(('Deuda GNC'!R31)/'Deuda GNC'!Q25)*100</f>
        <v>7.9224177119106916</v>
      </c>
      <c r="S124" s="433">
        <f>(('Deuda GNC'!S31)/'Deuda GNC'!R25)*100</f>
        <v>9.155220044864075</v>
      </c>
      <c r="T124" s="433">
        <f>(('Deuda GNC'!T31)/'Deuda GNC'!S25)*100</f>
        <v>8.2131660084793978</v>
      </c>
      <c r="U124" s="433">
        <f>(('Deuda GNC'!U31)/'Deuda GNC'!T25)*100</f>
        <v>7.7737175236158889</v>
      </c>
      <c r="V124" s="433">
        <f>(('Deuda GNC'!V31)/'Deuda GNC'!U25)*100</f>
        <v>7.6629789442131795</v>
      </c>
      <c r="W124" s="433">
        <f>(('Deuda GNC'!W31)/'Deuda GNC'!V25)*100</f>
        <v>5.7009993244509509</v>
      </c>
      <c r="X124" s="433">
        <f>(('Deuda GNC'!X31)/'Deuda GNC'!W25)*100</f>
        <v>7.7651441499332519</v>
      </c>
      <c r="Y124" s="433">
        <f>(('Deuda GNC'!Y31)/'Deuda GNC'!X25)*100</f>
        <v>12.094160433082724</v>
      </c>
      <c r="Z124" s="434">
        <f>(('Deuda GNC'!Z31)/'Deuda GNC'!Y25)*100</f>
        <v>9.645742790969889</v>
      </c>
      <c r="AA124" s="55">
        <f>(('Deuda GNC'!AA31)/'Deuda GNC'!Z25)*100</f>
        <v>10.669294376719629</v>
      </c>
      <c r="AB124" s="55" t="e">
        <f>(('Deuda GNC'!AB31)/'Deuda GNC'!AA25)*100</f>
        <v>#DIV/0!</v>
      </c>
      <c r="AC124" s="55" t="e">
        <f>(('Deuda GNC'!AC31)/'Deuda GNC'!AB25)*100</f>
        <v>#DIV/0!</v>
      </c>
      <c r="AD124" s="55" t="e">
        <f>(('Deuda GNC'!AD31)/'Deuda GNC'!AC25)*100</f>
        <v>#DIV/0!</v>
      </c>
      <c r="AE124" s="55" t="e">
        <f>(('Deuda GNC'!AE31)/'Deuda GNC'!AD25)*100</f>
        <v>#DIV/0!</v>
      </c>
      <c r="AF124" s="55" t="e">
        <f>(('Deuda GNC'!AF31)/'Deuda GNC'!AE25)*100</f>
        <v>#DIV/0!</v>
      </c>
      <c r="AG124" s="55" t="e">
        <f>(('Deuda GNC'!AG31)/'Deuda GNC'!AF25)*100</f>
        <v>#DIV/0!</v>
      </c>
      <c r="AH124" s="55" t="e">
        <f>(('Deuda GNC'!AH31)/'Deuda GNC'!AG25)*100</f>
        <v>#DIV/0!</v>
      </c>
      <c r="AI124" s="55" t="e">
        <f>(('Deuda GNC'!AI31)/'Deuda GNC'!AH25)*100</f>
        <v>#DIV/0!</v>
      </c>
      <c r="AJ124" s="55" t="e">
        <f>(('Deuda GNC'!AJ31)/'Deuda GNC'!AI25)*100</f>
        <v>#DIV/0!</v>
      </c>
      <c r="AK124" s="55" t="e">
        <f>(('Deuda GNC'!AK31)/'Deuda GNC'!AJ25)*100</f>
        <v>#DIV/0!</v>
      </c>
      <c r="AL124" s="56" t="e">
        <f>(('Deuda GNC'!AL31)/'Deuda GNC'!AK25)*100</f>
        <v>#DIV/0!</v>
      </c>
      <c r="AM124" s="378"/>
      <c r="AN124" s="378"/>
      <c r="AO124" s="378"/>
      <c r="AP124" s="378"/>
      <c r="AQ124" s="378"/>
      <c r="AR124" s="378"/>
      <c r="AS124" s="378"/>
      <c r="AT124" s="378"/>
      <c r="AU124" s="378"/>
      <c r="AV124" s="378"/>
      <c r="AW124" s="378"/>
      <c r="AX124" s="378"/>
      <c r="AY124" s="378"/>
    </row>
    <row r="125" spans="1:51">
      <c r="A125" s="479" t="s">
        <v>312</v>
      </c>
      <c r="B125" s="433"/>
      <c r="C125" s="470">
        <f>'Deuda GNC'!C36/'Deuda GNC'!B26*100</f>
        <v>10.62683617305186</v>
      </c>
      <c r="D125" s="433">
        <f>'Deuda GNC'!D36/'Deuda GNC'!C26*100</f>
        <v>10.213238281188579</v>
      </c>
      <c r="E125" s="433">
        <f>'Deuda GNC'!E36/'Deuda GNC'!D26*100</f>
        <v>9.6179367636628399</v>
      </c>
      <c r="F125" s="433">
        <f>'Deuda GNC'!F36/'Deuda GNC'!E26*100</f>
        <v>8.6070646041436252</v>
      </c>
      <c r="G125" s="433">
        <f>'Deuda GNC'!G36/'Deuda GNC'!F26*100</f>
        <v>7.8440668829392921</v>
      </c>
      <c r="H125" s="433">
        <f>'Deuda GNC'!H36/'Deuda GNC'!G26*100</f>
        <v>8.4186097380866283</v>
      </c>
      <c r="I125" s="433">
        <f>'Deuda GNC'!I36/'Deuda GNC'!H26*100</f>
        <v>8.8837366119240428</v>
      </c>
      <c r="J125" s="433">
        <f>'Deuda GNC'!J36/'Deuda GNC'!I26*100</f>
        <v>8.0049748593642036</v>
      </c>
      <c r="K125" s="433">
        <f>'Deuda GNC'!K36/'Deuda GNC'!J26*100</f>
        <v>7.8388616482908073</v>
      </c>
      <c r="L125" s="433">
        <f>'Deuda GNC'!L36/'Deuda GNC'!K26*100</f>
        <v>7.2170433888154442</v>
      </c>
      <c r="M125" s="433">
        <f>'Deuda GNC'!M36/'Deuda GNC'!L26*100</f>
        <v>6.6686576566426234</v>
      </c>
      <c r="N125" s="433">
        <f>'Deuda GNC'!N36/'Deuda GNC'!M26*100</f>
        <v>6.2912170279295463</v>
      </c>
      <c r="O125" s="433">
        <f>'Deuda GNC'!O36/'Deuda GNC'!N26*100</f>
        <v>5.7981634210511883</v>
      </c>
      <c r="P125" s="433">
        <f>'Deuda GNC'!P36/'Deuda GNC'!O26*100</f>
        <v>6.054952436778029</v>
      </c>
      <c r="Q125" s="433">
        <f>'Deuda GNC'!Q36/'Deuda GNC'!P26*100</f>
        <v>5.6285389222504181</v>
      </c>
      <c r="R125" s="433">
        <f>'Deuda GNC'!R36/'Deuda GNC'!Q26*100</f>
        <v>6.1574762973804065</v>
      </c>
      <c r="S125" s="433">
        <f>'Deuda GNC'!S36/'Deuda GNC'!R26*100</f>
        <v>4.8069976020114025</v>
      </c>
      <c r="T125" s="433">
        <f>'Deuda GNC'!T36/'Deuda GNC'!S26*100</f>
        <v>5.0228419509823095</v>
      </c>
      <c r="U125" s="433">
        <f>'Deuda GNC'!U36/'Deuda GNC'!T26*100</f>
        <v>4.9152682386121711</v>
      </c>
      <c r="V125" s="433">
        <f>'Deuda GNC'!V36/'Deuda GNC'!U26*100</f>
        <v>4.9041855888737205</v>
      </c>
      <c r="W125" s="433">
        <f>'Deuda GNC'!W36/'Deuda GNC'!V26*100</f>
        <v>5.1438225705546419</v>
      </c>
      <c r="X125" s="433">
        <f>'Deuda GNC'!X36/'Deuda GNC'!W26*100</f>
        <v>4.3509342469487011</v>
      </c>
      <c r="Y125" s="433">
        <f>'Deuda GNC'!Y36/'Deuda GNC'!X26*100</f>
        <v>3.8712280792447542</v>
      </c>
      <c r="Z125" s="434">
        <f>'Deuda GNC'!Z36/'Deuda GNC'!Y26*100</f>
        <v>3.8999140155381231</v>
      </c>
      <c r="AA125" s="55">
        <f>'Deuda GNC'!AA36/'Deuda GNC'!Z26*100</f>
        <v>0</v>
      </c>
      <c r="AB125" s="55" t="e">
        <f>'Deuda GNC'!AB36/'Deuda GNC'!AA26*100</f>
        <v>#DIV/0!</v>
      </c>
      <c r="AC125" s="55" t="e">
        <f>'Deuda GNC'!AC36/'Deuda GNC'!AB26*100</f>
        <v>#DIV/0!</v>
      </c>
      <c r="AD125" s="55" t="e">
        <f>'Deuda GNC'!AD36/'Deuda GNC'!AC26*100</f>
        <v>#DIV/0!</v>
      </c>
      <c r="AE125" s="55" t="e">
        <f>'Deuda GNC'!AE36/'Deuda GNC'!AD26*100</f>
        <v>#DIV/0!</v>
      </c>
      <c r="AF125" s="55" t="e">
        <f>'Deuda GNC'!AF36/'Deuda GNC'!AE26*100</f>
        <v>#DIV/0!</v>
      </c>
      <c r="AG125" s="55" t="e">
        <f>'Deuda GNC'!AG36/'Deuda GNC'!AF26*100</f>
        <v>#DIV/0!</v>
      </c>
      <c r="AH125" s="55" t="e">
        <f>'Deuda GNC'!AH36/'Deuda GNC'!AG26*100</f>
        <v>#DIV/0!</v>
      </c>
      <c r="AI125" s="55" t="e">
        <f>'Deuda GNC'!AI36/'Deuda GNC'!AH26*100</f>
        <v>#DIV/0!</v>
      </c>
      <c r="AJ125" s="55" t="e">
        <f>'Deuda GNC'!AJ36/'Deuda GNC'!AI26*100</f>
        <v>#DIV/0!</v>
      </c>
      <c r="AK125" s="55" t="e">
        <f>'Deuda GNC'!AK36/'Deuda GNC'!AJ26*100</f>
        <v>#DIV/0!</v>
      </c>
      <c r="AL125" s="56" t="e">
        <f>'Deuda GNC'!AL36/'Deuda GNC'!AK26*100</f>
        <v>#DIV/0!</v>
      </c>
      <c r="AM125" s="378"/>
      <c r="AN125" s="378"/>
      <c r="AO125" s="378"/>
      <c r="AP125" s="378"/>
      <c r="AQ125" s="378"/>
      <c r="AR125" s="378"/>
      <c r="AS125" s="378"/>
      <c r="AT125" s="378"/>
      <c r="AU125" s="378"/>
      <c r="AV125" s="378"/>
      <c r="AW125" s="378"/>
      <c r="AX125" s="378"/>
      <c r="AY125" s="378"/>
    </row>
    <row r="126" spans="1:51">
      <c r="A126" s="479" t="s">
        <v>313</v>
      </c>
      <c r="B126" s="433"/>
      <c r="C126" s="470">
        <f>'Deuda GNC'!C37/'Deuda GNC'!B22*100</f>
        <v>13.405705546801086</v>
      </c>
      <c r="D126" s="433">
        <f>'Deuda GNC'!D37/'Deuda GNC'!C22*100</f>
        <v>10.746609803384411</v>
      </c>
      <c r="E126" s="433">
        <f>'Deuda GNC'!E37/'Deuda GNC'!D22*100</f>
        <v>9.7705538944968744</v>
      </c>
      <c r="F126" s="433">
        <f>'Deuda GNC'!F37/'Deuda GNC'!E22*100</f>
        <v>9.2927266549231966</v>
      </c>
      <c r="G126" s="433">
        <f>'Deuda GNC'!G37/'Deuda GNC'!F22*100</f>
        <v>8.9799279904589202</v>
      </c>
      <c r="H126" s="433">
        <f>'Deuda GNC'!H37/'Deuda GNC'!G22*100</f>
        <v>8.3875204345169543</v>
      </c>
      <c r="I126" s="433">
        <f>'Deuda GNC'!I37/'Deuda GNC'!H22*100</f>
        <v>10.216870234553678</v>
      </c>
      <c r="J126" s="433">
        <f>'Deuda GNC'!J37/'Deuda GNC'!I22*100</f>
        <v>10.907474383202365</v>
      </c>
      <c r="K126" s="433">
        <f>'Deuda GNC'!K37/'Deuda GNC'!J22*100</f>
        <v>10.031135608382437</v>
      </c>
      <c r="L126" s="433">
        <f>'Deuda GNC'!L37/'Deuda GNC'!K22*100</f>
        <v>9.0152855708195077</v>
      </c>
      <c r="M126" s="433">
        <f>'Deuda GNC'!M37/'Deuda GNC'!L22*100</f>
        <v>8.0993919109469186</v>
      </c>
      <c r="N126" s="433">
        <f>'Deuda GNC'!N37/'Deuda GNC'!M22*100</f>
        <v>8.3463701549423579</v>
      </c>
      <c r="O126" s="433">
        <f>'Deuda GNC'!O37/'Deuda GNC'!N22*100</f>
        <v>8.0090212197129222</v>
      </c>
      <c r="P126" s="433">
        <f>'Deuda GNC'!P37/'Deuda GNC'!O22*100</f>
        <v>7.4019861107007925</v>
      </c>
      <c r="Q126" s="433">
        <f>'Deuda GNC'!Q37/'Deuda GNC'!P22*100</f>
        <v>6.9550485782327991</v>
      </c>
      <c r="R126" s="433">
        <f>'Deuda GNC'!R37/'Deuda GNC'!Q22*100</f>
        <v>7.3721058782237918</v>
      </c>
      <c r="S126" s="433">
        <f>'Deuda GNC'!S37/'Deuda GNC'!R22*100</f>
        <v>7.5509590874814432</v>
      </c>
      <c r="T126" s="433">
        <f>'Deuda GNC'!T37/'Deuda GNC'!S22*100</f>
        <v>7.1384210352244253</v>
      </c>
      <c r="U126" s="433">
        <f>'Deuda GNC'!U37/'Deuda GNC'!T22*100</f>
        <v>6.8168088338718933</v>
      </c>
      <c r="V126" s="433">
        <f>'Deuda GNC'!V37/'Deuda GNC'!U22*100</f>
        <v>6.7282221278918346</v>
      </c>
      <c r="W126" s="433">
        <f>'Deuda GNC'!W37/'Deuda GNC'!V22*100</f>
        <v>5.5241283068803799</v>
      </c>
      <c r="X126" s="433">
        <f>'Deuda GNC'!X37/'Deuda GNC'!W22*100</f>
        <v>6.5513023017945118</v>
      </c>
      <c r="Y126" s="433">
        <f>'Deuda GNC'!Y37/'Deuda GNC'!X22*100</f>
        <v>8.8193860609369246</v>
      </c>
      <c r="Z126" s="434">
        <f>'Deuda GNC'!Z37/'Deuda GNC'!Y22*100</f>
        <v>7.2533742893429816</v>
      </c>
      <c r="AA126" s="55">
        <f>'Deuda GNC'!AA37/'Deuda GNC'!Z22*100</f>
        <v>7.0002511265903813</v>
      </c>
      <c r="AB126" s="55" t="e">
        <f>'Deuda GNC'!AB37/'Deuda GNC'!AA22*100</f>
        <v>#DIV/0!</v>
      </c>
      <c r="AC126" s="55" t="e">
        <f>'Deuda GNC'!AC37/'Deuda GNC'!AB22*100</f>
        <v>#DIV/0!</v>
      </c>
      <c r="AD126" s="55" t="e">
        <f>'Deuda GNC'!AD37/'Deuda GNC'!AC22*100</f>
        <v>#DIV/0!</v>
      </c>
      <c r="AE126" s="55" t="e">
        <f>'Deuda GNC'!AE37/'Deuda GNC'!AD22*100</f>
        <v>#DIV/0!</v>
      </c>
      <c r="AF126" s="55" t="e">
        <f>'Deuda GNC'!AF37/'Deuda GNC'!AE22*100</f>
        <v>#DIV/0!</v>
      </c>
      <c r="AG126" s="55" t="e">
        <f>'Deuda GNC'!AG37/'Deuda GNC'!AF22*100</f>
        <v>#DIV/0!</v>
      </c>
      <c r="AH126" s="55" t="e">
        <f>'Deuda GNC'!AH37/'Deuda GNC'!AG22*100</f>
        <v>#DIV/0!</v>
      </c>
      <c r="AI126" s="55" t="e">
        <f>'Deuda GNC'!AI37/'Deuda GNC'!AH22*100</f>
        <v>#DIV/0!</v>
      </c>
      <c r="AJ126" s="55" t="e">
        <f>'Deuda GNC'!AJ37/'Deuda GNC'!AI22*100</f>
        <v>#DIV/0!</v>
      </c>
      <c r="AK126" s="55" t="e">
        <f>'Deuda GNC'!AK37/'Deuda GNC'!AJ22*100</f>
        <v>#DIV/0!</v>
      </c>
      <c r="AL126" s="56" t="e">
        <f>'Deuda GNC'!AL37/'Deuda GNC'!AK22*100</f>
        <v>#DIV/0!</v>
      </c>
      <c r="AM126" s="378"/>
      <c r="AN126" s="378"/>
      <c r="AO126" s="378"/>
      <c r="AP126" s="378"/>
      <c r="AQ126" s="378"/>
      <c r="AR126" s="378"/>
      <c r="AS126" s="378"/>
      <c r="AT126" s="378"/>
      <c r="AU126" s="378"/>
      <c r="AV126" s="378"/>
      <c r="AW126" s="378"/>
      <c r="AX126" s="378"/>
      <c r="AY126" s="378"/>
    </row>
    <row r="127" spans="1:51">
      <c r="A127" s="485" t="s">
        <v>314</v>
      </c>
      <c r="B127" s="486"/>
      <c r="C127" s="486">
        <f>('Deuda GNC'!C37-C35)/'Deuda GNC'!B22*100</f>
        <v>13.278303154590491</v>
      </c>
      <c r="D127" s="486">
        <f>('Deuda GNC'!D37-D35)/'Deuda GNC'!C22*100</f>
        <v>10.378271310753892</v>
      </c>
      <c r="E127" s="486">
        <f>('Deuda GNC'!E37-E35)/'Deuda GNC'!D22*100</f>
        <v>9.2766818748566724</v>
      </c>
      <c r="F127" s="486">
        <f>('Deuda GNC'!F37-F35)/'Deuda GNC'!E22*100</f>
        <v>8.7815259364635274</v>
      </c>
      <c r="G127" s="486">
        <f>('Deuda GNC'!G37-G35)/'Deuda GNC'!F22*100</f>
        <v>8.4721083131609483</v>
      </c>
      <c r="H127" s="486">
        <f>('Deuda GNC'!H37-H35)/'Deuda GNC'!G22*100</f>
        <v>7.8807747476419774</v>
      </c>
      <c r="I127" s="486">
        <f>('Deuda GNC'!I37-I35)/'Deuda GNC'!H22*100</f>
        <v>9.7507165211830849</v>
      </c>
      <c r="J127" s="486">
        <f>('Deuda GNC'!J37-J35)/'Deuda GNC'!I22*100</f>
        <v>10.295974464355606</v>
      </c>
      <c r="K127" s="486">
        <f>('Deuda GNC'!K37-K35)/'Deuda GNC'!J22*100</f>
        <v>9.0894826273553537</v>
      </c>
      <c r="L127" s="486">
        <f>('Deuda GNC'!L37-L35)/'Deuda GNC'!K22*100</f>
        <v>8.6781441261200776</v>
      </c>
      <c r="M127" s="486">
        <f>('Deuda GNC'!M37-M35)/'Deuda GNC'!L22*100</f>
        <v>7.7533467648232479</v>
      </c>
      <c r="N127" s="486">
        <f>('Deuda GNC'!N37-N35)/'Deuda GNC'!M22*100</f>
        <v>7.769358147683664</v>
      </c>
      <c r="O127" s="486">
        <f>('Deuda GNC'!O37-O35)/'Deuda GNC'!N22*100</f>
        <v>7.550561655212924</v>
      </c>
      <c r="P127" s="486">
        <f>('Deuda GNC'!P37-P35)/'Deuda GNC'!O22*100</f>
        <v>7.1490063452393144</v>
      </c>
      <c r="Q127" s="486">
        <f>('Deuda GNC'!Q37-Q35)/'Deuda GNC'!P22*100</f>
        <v>6.3874562037379681</v>
      </c>
      <c r="R127" s="486">
        <f>('Deuda GNC'!R37-R35)/'Deuda GNC'!Q22*100</f>
        <v>6.2920816570517788</v>
      </c>
      <c r="S127" s="486">
        <f>('Deuda GNC'!S37-S35)/'Deuda GNC'!R22*100</f>
        <v>6.4044208232920132</v>
      </c>
      <c r="T127" s="486">
        <f>('Deuda GNC'!T37-T35)/'Deuda GNC'!S22*100</f>
        <v>6.3454012188849163</v>
      </c>
      <c r="U127" s="486">
        <f>('Deuda GNC'!U37-U35)/'Deuda GNC'!T22*100</f>
        <v>6.1403176173785434</v>
      </c>
      <c r="V127" s="486">
        <f>('Deuda GNC'!V37-V35)/'Deuda GNC'!U22*100</f>
        <v>5.8750792961148139</v>
      </c>
      <c r="W127" s="486">
        <f>('Deuda GNC'!W37-W35)/'Deuda GNC'!V22*100</f>
        <v>5.1851940676290926</v>
      </c>
      <c r="X127" s="486">
        <f>('Deuda GNC'!X37-X35)/'Deuda GNC'!W22*100</f>
        <v>5.6178416004569867</v>
      </c>
      <c r="Y127" s="486">
        <f>('Deuda GNC'!Y37-Y35)/'Deuda GNC'!X22*100</f>
        <v>6.481268525540651</v>
      </c>
      <c r="Z127" s="487">
        <f>('Deuda GNC'!Z37-Z35)/'Deuda GNC'!Y22*100</f>
        <v>5.416571477958855</v>
      </c>
      <c r="AA127" s="488">
        <f>('Deuda GNC'!AA37-AA35)/'Deuda GNC'!Z22*100</f>
        <v>5.638636466608423</v>
      </c>
      <c r="AB127" s="488" t="e">
        <f>('Deuda GNC'!AB37-AB35)/'Deuda GNC'!AA22*100</f>
        <v>#DIV/0!</v>
      </c>
      <c r="AC127" s="488" t="e">
        <f>('Deuda GNC'!AC37-AC35)/'Deuda GNC'!AB22*100</f>
        <v>#DIV/0!</v>
      </c>
      <c r="AD127" s="488" t="e">
        <f>('Deuda GNC'!AD37-AD35)/'Deuda GNC'!AC22*100</f>
        <v>#DIV/0!</v>
      </c>
      <c r="AE127" s="488" t="e">
        <f>('Deuda GNC'!AE37-AE35)/'Deuda GNC'!AD22*100</f>
        <v>#DIV/0!</v>
      </c>
      <c r="AF127" s="488" t="e">
        <f>('Deuda GNC'!AF37-AF35)/'Deuda GNC'!AE22*100</f>
        <v>#DIV/0!</v>
      </c>
      <c r="AG127" s="488" t="e">
        <f>('Deuda GNC'!AG37-AG35)/'Deuda GNC'!AF22*100</f>
        <v>#DIV/0!</v>
      </c>
      <c r="AH127" s="488" t="e">
        <f>('Deuda GNC'!AH37-AH35)/'Deuda GNC'!AG22*100</f>
        <v>#DIV/0!</v>
      </c>
      <c r="AI127" s="488" t="e">
        <f>('Deuda GNC'!AI37-AI35)/'Deuda GNC'!AH22*100</f>
        <v>#DIV/0!</v>
      </c>
      <c r="AJ127" s="488" t="e">
        <f>('Deuda GNC'!AJ37-AJ35)/'Deuda GNC'!AI22*100</f>
        <v>#DIV/0!</v>
      </c>
      <c r="AK127" s="488" t="e">
        <f>('Deuda GNC'!AK37-AK35)/'Deuda GNC'!AJ22*100</f>
        <v>#DIV/0!</v>
      </c>
      <c r="AL127" s="489" t="e">
        <f>('Deuda GNC'!AL37-AL35)/'Deuda GNC'!AK22*100</f>
        <v>#DIV/0!</v>
      </c>
      <c r="AM127" s="378"/>
      <c r="AN127" s="378"/>
      <c r="AO127" s="378"/>
      <c r="AP127" s="378"/>
      <c r="AQ127" s="378"/>
      <c r="AR127" s="378"/>
      <c r="AS127" s="378"/>
      <c r="AT127" s="378"/>
      <c r="AU127" s="378"/>
      <c r="AV127" s="378"/>
      <c r="AW127" s="378"/>
      <c r="AX127" s="378"/>
      <c r="AY127" s="378"/>
    </row>
    <row r="128" spans="1:51">
      <c r="A128" s="49"/>
      <c r="B128" s="490"/>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34"/>
      <c r="AC128" s="55"/>
      <c r="AD128" s="55"/>
      <c r="AM128" s="378"/>
      <c r="AN128" s="378"/>
      <c r="AO128" s="378"/>
      <c r="AP128" s="378"/>
      <c r="AQ128" s="378"/>
      <c r="AR128" s="378"/>
      <c r="AS128" s="378"/>
      <c r="AT128" s="378"/>
      <c r="AU128" s="378"/>
      <c r="AV128" s="378"/>
      <c r="AW128" s="378"/>
      <c r="AX128" s="378"/>
      <c r="AY128" s="378"/>
    </row>
    <row r="129" spans="1:54" s="182" customFormat="1">
      <c r="A129" s="571" t="s">
        <v>315</v>
      </c>
      <c r="B129" s="572">
        <v>1999</v>
      </c>
      <c r="C129" s="572">
        <v>2000</v>
      </c>
      <c r="D129" s="572">
        <v>2001</v>
      </c>
      <c r="E129" s="572">
        <v>2002</v>
      </c>
      <c r="F129" s="572">
        <v>2003</v>
      </c>
      <c r="G129" s="572">
        <v>2004</v>
      </c>
      <c r="H129" s="572">
        <v>2005</v>
      </c>
      <c r="I129" s="572">
        <v>2006</v>
      </c>
      <c r="J129" s="572">
        <v>2007</v>
      </c>
      <c r="K129" s="572">
        <v>2008</v>
      </c>
      <c r="L129" s="572">
        <v>2009</v>
      </c>
      <c r="M129" s="572">
        <v>2010</v>
      </c>
      <c r="N129" s="572">
        <v>2011</v>
      </c>
      <c r="O129" s="572">
        <v>2012</v>
      </c>
      <c r="P129" s="572">
        <v>2013</v>
      </c>
      <c r="Q129" s="572">
        <v>2014</v>
      </c>
      <c r="R129" s="572">
        <v>2015</v>
      </c>
      <c r="S129" s="572">
        <v>2016</v>
      </c>
      <c r="T129" s="572">
        <v>2017</v>
      </c>
      <c r="U129" s="572">
        <v>2018</v>
      </c>
      <c r="V129" s="572">
        <v>2019</v>
      </c>
      <c r="W129" s="572">
        <v>2020</v>
      </c>
      <c r="X129" s="572">
        <v>2021</v>
      </c>
      <c r="Y129" s="572">
        <v>2022</v>
      </c>
      <c r="Z129" s="573">
        <v>2023</v>
      </c>
      <c r="AA129" s="572">
        <v>2024</v>
      </c>
      <c r="AB129" s="572">
        <v>2025</v>
      </c>
      <c r="AC129" s="572">
        <v>2026</v>
      </c>
      <c r="AD129" s="572">
        <v>2027</v>
      </c>
      <c r="AE129" s="572">
        <v>2028</v>
      </c>
      <c r="AF129" s="572">
        <v>2029</v>
      </c>
      <c r="AG129" s="572">
        <v>2030</v>
      </c>
      <c r="AH129" s="572">
        <v>2031</v>
      </c>
      <c r="AI129" s="572">
        <v>2032</v>
      </c>
      <c r="AJ129" s="572">
        <v>2033</v>
      </c>
      <c r="AK129" s="572">
        <v>2034</v>
      </c>
      <c r="AL129" s="574">
        <v>2035</v>
      </c>
      <c r="AM129" s="37"/>
      <c r="AN129" s="37"/>
      <c r="AO129" s="37"/>
      <c r="AP129" s="37"/>
      <c r="AQ129" s="37"/>
      <c r="AR129" s="37"/>
      <c r="AS129" s="37"/>
      <c r="AT129" s="37"/>
      <c r="AU129" s="37"/>
      <c r="AV129" s="37"/>
      <c r="AW129" s="37"/>
      <c r="AX129" s="37"/>
      <c r="AY129" s="37"/>
    </row>
    <row r="130" spans="1:54" s="175" customFormat="1">
      <c r="A130" s="580" t="s">
        <v>316</v>
      </c>
      <c r="B130" s="398"/>
      <c r="C130" s="581">
        <f>('Deuda GNC'!C69-'Deuda GNC'!B69)</f>
        <v>3.0367481876323481</v>
      </c>
      <c r="D130" s="581">
        <f>('Deuda GNC'!D69-'Deuda GNC'!C69)</f>
        <v>2.9047405058415805</v>
      </c>
      <c r="E130" s="581">
        <f>('Deuda GNC'!E69-'Deuda GNC'!D69)</f>
        <v>7.4084117154815985</v>
      </c>
      <c r="F130" s="581">
        <f>('Deuda GNC'!F69-'Deuda GNC'!E69)</f>
        <v>-1.113838841338513</v>
      </c>
      <c r="G130" s="581">
        <f>('Deuda GNC'!G69-'Deuda GNC'!F69)</f>
        <v>-3.73503867186907</v>
      </c>
      <c r="H130" s="581">
        <f>('Deuda GNC'!H69-'Deuda GNC'!G69)</f>
        <v>-1.0028581166446884</v>
      </c>
      <c r="I130" s="581">
        <f>('Deuda GNC'!I69-'Deuda GNC'!H69)</f>
        <v>-2.2233594523132609</v>
      </c>
      <c r="J130" s="581">
        <f>('Deuda GNC'!J69-'Deuda GNC'!I69)</f>
        <v>-2.4724267108921509</v>
      </c>
      <c r="K130" s="581">
        <f>('Deuda GNC'!K69-'Deuda GNC'!J69)</f>
        <v>-0.48605674201925808</v>
      </c>
      <c r="L130" s="581">
        <f>('Deuda GNC'!L69-'Deuda GNC'!K69)</f>
        <v>1.2858862755331444</v>
      </c>
      <c r="M130" s="581">
        <f>('Deuda GNC'!M69-'Deuda GNC'!L69)</f>
        <v>0.44609058595593609</v>
      </c>
      <c r="N130" s="581">
        <f>('Deuda GNC'!N69-'Deuda GNC'!M69)</f>
        <v>-2.5979571780207493</v>
      </c>
      <c r="O130" s="581">
        <f>('Deuda GNC'!O69-'Deuda GNC'!N69)</f>
        <v>-1.2268654831984875</v>
      </c>
      <c r="P130" s="581">
        <f>('Deuda GNC'!P69-'Deuda GNC'!O69)</f>
        <v>1.019289533297588</v>
      </c>
      <c r="Q130" s="581">
        <f>('Deuda GNC'!Q69-'Deuda GNC'!P69)</f>
        <v>2.5213114848785736</v>
      </c>
      <c r="R130" s="581">
        <f>('Deuda GNC'!R69-'Deuda GNC'!Q69)</f>
        <v>5.0634843283453037</v>
      </c>
      <c r="S130" s="581">
        <f>('Deuda GNC'!S69-'Deuda GNC'!R69)</f>
        <v>1.3946357146473574</v>
      </c>
      <c r="T130" s="581">
        <f>('Deuda GNC'!T69-'Deuda GNC'!S69)</f>
        <v>0.61853656455930661</v>
      </c>
      <c r="U130" s="581">
        <f>('Deuda GNC'!U69-'Deuda GNC'!T69)</f>
        <v>2.5581712694636991</v>
      </c>
      <c r="V130" s="581">
        <f>('Deuda GNC'!V69-'Deuda GNC'!U69)</f>
        <v>2.045602005429437</v>
      </c>
      <c r="W130" s="581">
        <f>('Deuda GNC'!W69-'Deuda GNC'!V69)</f>
        <v>12.312107693976593</v>
      </c>
      <c r="X130" s="581">
        <f>('Deuda GNC'!X69-'Deuda GNC'!W69)</f>
        <v>-0.64632798570259098</v>
      </c>
      <c r="Y130" s="581">
        <f>('Deuda GNC'!Y69-'Deuda GNC'!X69)</f>
        <v>-2.1116372195044733</v>
      </c>
      <c r="Z130" s="582">
        <f>('Deuda GNC'!Z69-'Deuda GNC'!Y69)</f>
        <v>-1.2244799708456213</v>
      </c>
      <c r="AA130" s="583" t="e">
        <f>('Deuda GNC'!AA69-'Deuda GNC'!Z69)</f>
        <v>#DIV/0!</v>
      </c>
      <c r="AB130" s="583" t="e">
        <f>('Deuda GNC'!AB69-'Deuda GNC'!AA69)</f>
        <v>#DIV/0!</v>
      </c>
      <c r="AC130" s="583" t="e">
        <f>('Deuda GNC'!AC69-'Deuda GNC'!AB69)</f>
        <v>#DIV/0!</v>
      </c>
      <c r="AD130" s="583" t="e">
        <f>('Deuda GNC'!AD69-'Deuda GNC'!AC69)</f>
        <v>#DIV/0!</v>
      </c>
      <c r="AE130" s="583" t="e">
        <f>('Deuda GNC'!AE69-'Deuda GNC'!AD69)</f>
        <v>#DIV/0!</v>
      </c>
      <c r="AF130" s="583" t="e">
        <f>('Deuda GNC'!AF69-'Deuda GNC'!AE69)</f>
        <v>#DIV/0!</v>
      </c>
      <c r="AG130" s="583" t="e">
        <f>('Deuda GNC'!AG69-'Deuda GNC'!AF69)</f>
        <v>#DIV/0!</v>
      </c>
      <c r="AH130" s="583" t="e">
        <f>('Deuda GNC'!AH69-'Deuda GNC'!AG69)</f>
        <v>#DIV/0!</v>
      </c>
      <c r="AI130" s="583" t="e">
        <f>('Deuda GNC'!AI69-'Deuda GNC'!AH69)</f>
        <v>#DIV/0!</v>
      </c>
      <c r="AJ130" s="583" t="e">
        <f>('Deuda GNC'!AJ69-'Deuda GNC'!AI69)</f>
        <v>#DIV/0!</v>
      </c>
      <c r="AK130" s="583" t="e">
        <f>('Deuda GNC'!AK69-'Deuda GNC'!AJ69)</f>
        <v>#DIV/0!</v>
      </c>
      <c r="AL130" s="584" t="e">
        <f>('Deuda GNC'!AL69-'Deuda GNC'!AK69)</f>
        <v>#DIV/0!</v>
      </c>
      <c r="AM130" s="585"/>
      <c r="AN130" s="585"/>
      <c r="AO130" s="585"/>
      <c r="AP130" s="585"/>
      <c r="AQ130" s="585"/>
      <c r="AR130" s="585"/>
      <c r="AS130" s="585"/>
      <c r="AT130" s="585"/>
      <c r="AU130" s="585"/>
      <c r="AV130" s="585"/>
      <c r="AW130" s="585"/>
      <c r="AX130" s="585"/>
      <c r="AY130" s="585"/>
    </row>
    <row r="131" spans="1:54">
      <c r="A131" s="492" t="s">
        <v>317</v>
      </c>
      <c r="B131" s="383"/>
      <c r="C131" s="493"/>
      <c r="D131" s="493"/>
      <c r="E131" s="493"/>
      <c r="F131" s="493"/>
      <c r="G131" s="493"/>
      <c r="H131" s="493"/>
      <c r="I131" s="493"/>
      <c r="J131" s="493"/>
      <c r="K131" s="493"/>
      <c r="L131" s="493"/>
      <c r="M131" s="493"/>
      <c r="N131" s="493"/>
      <c r="O131" s="493"/>
      <c r="P131" s="493"/>
      <c r="Q131" s="493"/>
      <c r="R131" s="493"/>
      <c r="S131" s="493"/>
      <c r="T131" s="493"/>
      <c r="U131" s="493"/>
      <c r="V131" s="493"/>
      <c r="W131" s="493"/>
      <c r="X131" s="493"/>
      <c r="Y131" s="493"/>
      <c r="Z131" s="556"/>
      <c r="AA131" s="34"/>
      <c r="AB131" s="34"/>
      <c r="AC131" s="34"/>
      <c r="AD131" s="34"/>
      <c r="AE131" s="34"/>
      <c r="AF131" s="34"/>
      <c r="AG131" s="34"/>
      <c r="AH131" s="34"/>
      <c r="AI131" s="34"/>
      <c r="AJ131" s="34"/>
      <c r="AK131" s="34"/>
      <c r="AL131" s="494"/>
      <c r="AM131" s="491"/>
      <c r="AN131" s="491"/>
      <c r="AO131" s="491"/>
      <c r="AP131" s="491"/>
      <c r="AQ131" s="491"/>
      <c r="AR131" s="491"/>
      <c r="AS131" s="491"/>
      <c r="AT131" s="491"/>
      <c r="AU131" s="491"/>
      <c r="AV131" s="491"/>
      <c r="AW131" s="491"/>
      <c r="AX131" s="491"/>
      <c r="AY131" s="491"/>
    </row>
    <row r="132" spans="1:54">
      <c r="A132" s="495" t="s">
        <v>318</v>
      </c>
      <c r="B132" s="383"/>
      <c r="C132" s="493">
        <f>-('Deuda GNC'!B69/100)*('Deuda GNC'!C112/100)/((1+'Deuda GNC'!C112/100)*(1+'Deuda GNC'!C113/100))*100</f>
        <v>-0.2920148822530747</v>
      </c>
      <c r="D132" s="493">
        <f>-('Deuda GNC'!C69/100)*('Deuda GNC'!D112/100)/((1+'Deuda GNC'!D112/100)*(1+'Deuda GNC'!D113/100))*100</f>
        <v>-0.9642430489193774</v>
      </c>
      <c r="E132" s="493">
        <f>-('Deuda GNC'!D69/100)*('Deuda GNC'!E112/100)/((1+'Deuda GNC'!E112/100)*(1+'Deuda GNC'!E113/100))*100</f>
        <v>-0.70969348391845111</v>
      </c>
      <c r="F132" s="493">
        <f>-('Deuda GNC'!E69/100)*('Deuda GNC'!F112/100)/((1+'Deuda GNC'!F112/100)*(1+'Deuda GNC'!F113/100))*100</f>
        <v>-1.8962913657554161</v>
      </c>
      <c r="G132" s="493">
        <f>-('Deuda GNC'!F69/100)*('Deuda GNC'!G112/100)/((1+'Deuda GNC'!G112/100)*(1+'Deuda GNC'!G113/100))*100</f>
        <v>-1.7467830143829257</v>
      </c>
      <c r="H132" s="493">
        <f>-('Deuda GNC'!G69/100)*('Deuda GNC'!H112/100)/((1+'Deuda GNC'!H112/100)*(1+'Deuda GNC'!H113/100))*100</f>
        <v>-1.8079953172090224</v>
      </c>
      <c r="I132" s="493">
        <f>-('Deuda GNC'!H69/100)*('Deuda GNC'!I112/100)/((1+'Deuda GNC'!I112/100)*(1+'Deuda GNC'!I113/100))*100</f>
        <v>-2.4364203547700676</v>
      </c>
      <c r="J132" s="493">
        <f>-('Deuda GNC'!I69/100)*('Deuda GNC'!J112/100)/((1+'Deuda GNC'!J112/100)*(1+'Deuda GNC'!J113/100))*100</f>
        <v>-2.2827468920730603</v>
      </c>
      <c r="K132" s="493">
        <f>-('Deuda GNC'!J69/100)*('Deuda GNC'!K112/100)/((1+'Deuda GNC'!K112/100)*(1+'Deuda GNC'!K113/100))*100</f>
        <v>-1.055428223264081</v>
      </c>
      <c r="L132" s="493">
        <f>-('Deuda GNC'!K69/100)*('Deuda GNC'!L112/100)/((1+'Deuda GNC'!L112/100)*(1+'Deuda GNC'!L113/100))*100</f>
        <v>-0.38952729138351144</v>
      </c>
      <c r="M132" s="493">
        <f>-('Deuda GNC'!L69/100)*('Deuda GNC'!M112/100)/((1+'Deuda GNC'!M112/100)*(1+'Deuda GNC'!M113/100))*100</f>
        <v>-1.5236878366789979</v>
      </c>
      <c r="N132" s="493">
        <f>-('Deuda GNC'!M69/100)*('Deuda GNC'!N112/100)/((1+'Deuda GNC'!N112/100)*(1+'Deuda GNC'!N113/100))*100</f>
        <v>-2.316920508874011</v>
      </c>
      <c r="O132" s="493">
        <f>-('Deuda GNC'!N69/100)*('Deuda GNC'!O112/100)/((1+'Deuda GNC'!O112/100)*(1+'Deuda GNC'!O113/100))*100</f>
        <v>-1.2642375645752906</v>
      </c>
      <c r="P132" s="493">
        <f>-('Deuda GNC'!O69/100)*('Deuda GNC'!P112/100)/((1+'Deuda GNC'!P112/100)*(1+'Deuda GNC'!P113/100))*100</f>
        <v>-1.5888779135403941</v>
      </c>
      <c r="Q132" s="493">
        <f>-('Deuda GNC'!P69/100)*('Deuda GNC'!Q112/100)/((1+'Deuda GNC'!Q112/100)*(1+'Deuda GNC'!Q113/100))*100</f>
        <v>-1.4199194316539143</v>
      </c>
      <c r="R132" s="493">
        <f>-('Deuda GNC'!Q69/100)*('Deuda GNC'!R112/100)/((1+'Deuda GNC'!R112/100)*(1+'Deuda GNC'!R113/100))*100</f>
        <v>-0.98709884689345029</v>
      </c>
      <c r="S132" s="493">
        <f>-('Deuda GNC'!R69/100)*('Deuda GNC'!S112/100)/((1+'Deuda GNC'!S112/100)*(1+'Deuda GNC'!S113/100))*100</f>
        <v>-0.80767883492090331</v>
      </c>
      <c r="T132" s="493">
        <f>-('Deuda GNC'!S69/100)*('Deuda GNC'!T112/100)/((1+'Deuda GNC'!T112/100)*(1+'Deuda GNC'!T113/100))*100</f>
        <v>-0.5561780042589376</v>
      </c>
      <c r="U132" s="493">
        <f>-('Deuda GNC'!T69/100)*('Deuda GNC'!U112/100)/((1+'Deuda GNC'!U112/100)*(1+'Deuda GNC'!U113/100))*100</f>
        <v>-1.06099130290836</v>
      </c>
      <c r="V132" s="493">
        <f>-('Deuda GNC'!U69/100)*('Deuda GNC'!V112/100)/((1+'Deuda GNC'!V112/100)*(1+'Deuda GNC'!V113/100))*100</f>
        <v>-1.3788958058472127</v>
      </c>
      <c r="W132" s="493">
        <f>-('Deuda GNC'!V69/100)*('Deuda GNC'!W112/100)/((1+'Deuda GNC'!W112/100)*(1+'Deuda GNC'!W113/100))*100</f>
        <v>3.7237933675547881</v>
      </c>
      <c r="X132" s="493">
        <f>-('Deuda GNC'!W69/100)*('Deuda GNC'!X112/100)/((1+'Deuda GNC'!X112/100)*(1+'Deuda GNC'!X113/100))*100</f>
        <v>-5.7029284241699365</v>
      </c>
      <c r="Y132" s="493">
        <f>-('Deuda GNC'!X69/100)*('Deuda GNC'!Y112/100)/((1+'Deuda GNC'!Y112/100)*(1+'Deuda GNC'!Y113/100))*100</f>
        <v>-3.6067560012466298</v>
      </c>
      <c r="Z132" s="556">
        <f>-('Deuda GNC'!Y69/100)*('Deuda GNC'!Z112/100)/((1+'Deuda GNC'!Z112/100)*(1+'Deuda GNC'!Z113/100))*100</f>
        <v>-0.32170226114272787</v>
      </c>
      <c r="AA132" s="496">
        <f>-('Deuda GNC'!Z69/100)*('Deuda GNC'!AA112/100)/((1+'Deuda GNC'!AA112/100)*(1+'Deuda GNC'!AA113/100))*100</f>
        <v>0</v>
      </c>
      <c r="AB132" s="496" t="e">
        <f>-('Deuda GNC'!AA69/100)*('Deuda GNC'!AB112/100)/((1+'Deuda GNC'!AB112/100)*(1+'Deuda GNC'!AB113/100))*100</f>
        <v>#DIV/0!</v>
      </c>
      <c r="AC132" s="496" t="e">
        <f>-('Deuda GNC'!AB69/100)*('Deuda GNC'!AC112/100)/((1+'Deuda GNC'!AC112/100)*(1+'Deuda GNC'!AC113/100))*100</f>
        <v>#DIV/0!</v>
      </c>
      <c r="AD132" s="496" t="e">
        <f>-('Deuda GNC'!AC69/100)*('Deuda GNC'!AD112/100)/((1+'Deuda GNC'!AD112/100)*(1+'Deuda GNC'!AD113/100))*100</f>
        <v>#DIV/0!</v>
      </c>
      <c r="AE132" s="496" t="e">
        <f>-('Deuda GNC'!AD69/100)*('Deuda GNC'!AE112/100)/((1+'Deuda GNC'!AE112/100)*(1+'Deuda GNC'!AE113/100))*100</f>
        <v>#DIV/0!</v>
      </c>
      <c r="AF132" s="496" t="e">
        <f>-('Deuda GNC'!AE69/100)*('Deuda GNC'!AF112/100)/((1+'Deuda GNC'!AF112/100)*(1+'Deuda GNC'!AF113/100))*100</f>
        <v>#DIV/0!</v>
      </c>
      <c r="AG132" s="496" t="e">
        <f>-('Deuda GNC'!AF69/100)*('Deuda GNC'!AG112/100)/((1+'Deuda GNC'!AG112/100)*(1+'Deuda GNC'!AG113/100))*100</f>
        <v>#DIV/0!</v>
      </c>
      <c r="AH132" s="496" t="e">
        <f>-('Deuda GNC'!AG69/100)*('Deuda GNC'!AH112/100)/((1+'Deuda GNC'!AH112/100)*(1+'Deuda GNC'!AH113/100))*100</f>
        <v>#DIV/0!</v>
      </c>
      <c r="AI132" s="496" t="e">
        <f>-('Deuda GNC'!AH69/100)*('Deuda GNC'!AI112/100)/((1+'Deuda GNC'!AI112/100)*(1+'Deuda GNC'!AI113/100))*100</f>
        <v>#DIV/0!</v>
      </c>
      <c r="AJ132" s="496" t="e">
        <f>-('Deuda GNC'!AI69/100)*('Deuda GNC'!AJ112/100)/((1+'Deuda GNC'!AJ112/100)*(1+'Deuda GNC'!AJ113/100))*100</f>
        <v>#DIV/0!</v>
      </c>
      <c r="AK132" s="496" t="e">
        <f>-('Deuda GNC'!AJ69/100)*('Deuda GNC'!AK112/100)/((1+'Deuda GNC'!AK112/100)*(1+'Deuda GNC'!AK113/100))*100</f>
        <v>#DIV/0!</v>
      </c>
      <c r="AL132" s="497" t="e">
        <f>-('Deuda GNC'!AK69/100)*('Deuda GNC'!AL112/100)/((1+'Deuda GNC'!AL112/100)*(1+'Deuda GNC'!AL113/100))*100</f>
        <v>#DIV/0!</v>
      </c>
      <c r="AM132" s="491"/>
      <c r="AN132" s="491"/>
      <c r="AO132" s="491"/>
      <c r="AP132" s="491"/>
      <c r="AQ132" s="491"/>
      <c r="AR132" s="491"/>
      <c r="AS132" s="491"/>
      <c r="AT132" s="491"/>
      <c r="AU132" s="491"/>
      <c r="AV132" s="491"/>
      <c r="AW132" s="491"/>
      <c r="AX132" s="491"/>
      <c r="AY132" s="491"/>
    </row>
    <row r="133" spans="1:54">
      <c r="A133" s="495" t="s">
        <v>92</v>
      </c>
      <c r="B133" s="383"/>
      <c r="C133" s="493">
        <f>-('Deuda GNC'!B69/100)*(('Deuda GNC'!C113/100)/(1+'Deuda GNC'!C113/100))*100</f>
        <v>-2.6502302399896553</v>
      </c>
      <c r="D133" s="493">
        <f>-('Deuda GNC'!C69/100)*(('Deuda GNC'!D113/100)/(1+'Deuda GNC'!D113/100))*100</f>
        <v>-2.5564534618878683</v>
      </c>
      <c r="E133" s="493">
        <f>-('Deuda GNC'!D69/100)*(('Deuda GNC'!E113/100)/(1+'Deuda GNC'!E113/100))*100</f>
        <v>-2.5411917257142411</v>
      </c>
      <c r="F133" s="493">
        <f>-('Deuda GNC'!E69/100)*(('Deuda GNC'!F113/100)/(1+'Deuda GNC'!F113/100))*100</f>
        <v>-2.8219725578163031</v>
      </c>
      <c r="G133" s="493">
        <f>-('Deuda GNC'!F69/100)*(('Deuda GNC'!G113/100)/(1+'Deuda GNC'!G113/100))*100</f>
        <v>-2.3541759838581733</v>
      </c>
      <c r="H133" s="493">
        <f>-('Deuda GNC'!G69/100)*(('Deuda GNC'!H113/100)/(1+'Deuda GNC'!H113/100))*100</f>
        <v>-1.9190887104469911</v>
      </c>
      <c r="I133" s="493">
        <f>-('Deuda GNC'!H69/100)*(('Deuda GNC'!I113/100)/(1+'Deuda GNC'!I113/100))*100</f>
        <v>-1.7333949000564699</v>
      </c>
      <c r="J133" s="493">
        <f>-('Deuda GNC'!I69/100)*(('Deuda GNC'!J113/100)/(1+'Deuda GNC'!J113/100))*100</f>
        <v>-2.0591439032456962</v>
      </c>
      <c r="K133" s="493">
        <f>-('Deuda GNC'!J69/100)*(('Deuda GNC'!K113/100)/(1+'Deuda GNC'!K113/100))*100</f>
        <v>-2.547841063663641</v>
      </c>
      <c r="L133" s="493">
        <f>-('Deuda GNC'!K69/100)*(('Deuda GNC'!L113/100)/(1+'Deuda GNC'!L113/100))*100</f>
        <v>-0.69200745544498021</v>
      </c>
      <c r="M133" s="493">
        <f>-('Deuda GNC'!L69/100)*(('Deuda GNC'!M113/100)/(1+'Deuda GNC'!M113/100))*100</f>
        <v>-1.1233627630799976</v>
      </c>
      <c r="N133" s="493">
        <f>-('Deuda GNC'!M69/100)*(('Deuda GNC'!N113/100)/(1+'Deuda GNC'!N113/100))*100</f>
        <v>-1.3290857795281841</v>
      </c>
      <c r="O133" s="493">
        <f>-('Deuda GNC'!N69/100)*(('Deuda GNC'!O113/100)/(1+'Deuda GNC'!O113/100))*100</f>
        <v>-0.81925189961014189</v>
      </c>
      <c r="P133" s="493">
        <f>-('Deuda GNC'!O69/100)*(('Deuda GNC'!P113/100)/(1+'Deuda GNC'!P113/100))*100</f>
        <v>-0.63121905872424844</v>
      </c>
      <c r="Q133" s="493">
        <f>-('Deuda GNC'!P69/100)*(('Deuda GNC'!Q113/100)/(1+'Deuda GNC'!Q113/100))*100</f>
        <v>-1.2070858471682147</v>
      </c>
      <c r="R133" s="493">
        <f>-('Deuda GNC'!Q69/100)*(('Deuda GNC'!R113/100)/(1+'Deuda GNC'!R113/100))*100</f>
        <v>-2.3276121679914663</v>
      </c>
      <c r="S133" s="493">
        <f>-('Deuda GNC'!R69/100)*(('Deuda GNC'!S113/100)/(1+'Deuda GNC'!S113/100))*100</f>
        <v>-2.271310859627885</v>
      </c>
      <c r="T133" s="493">
        <f>-('Deuda GNC'!S69/100)*(('Deuda GNC'!T113/100)/(1+'Deuda GNC'!T113/100))*100</f>
        <v>-1.6961576564567007</v>
      </c>
      <c r="U133" s="493">
        <f>-('Deuda GNC'!T69/100)*(('Deuda GNC'!U113/100)/(1+'Deuda GNC'!U113/100))*100</f>
        <v>-1.3494671659577731</v>
      </c>
      <c r="V133" s="493">
        <f>-('Deuda GNC'!U69/100)*(('Deuda GNC'!V113/100)/(1+'Deuda GNC'!V113/100))*100</f>
        <v>-1.6965906433440783</v>
      </c>
      <c r="W133" s="493">
        <f>-('Deuda GNC'!V69/100)*(('Deuda GNC'!W113/100)/(1+'Deuda GNC'!W113/100))*100</f>
        <v>-0.76672371711133125</v>
      </c>
      <c r="X133" s="493">
        <f>-('Deuda GNC'!W69/100)*(('Deuda GNC'!X113/100)/(1+'Deuda GNC'!X113/100))*100</f>
        <v>-3.2298995895891509</v>
      </c>
      <c r="Y133" s="493">
        <f>-('Deuda GNC'!X69/100)*(('Deuda GNC'!Y113/100)/(1+'Deuda GNC'!Y113/100))*100</f>
        <v>-6.9653716451564973</v>
      </c>
      <c r="Z133" s="556">
        <f>-('Deuda GNC'!Y69/100)*(('Deuda GNC'!Z113/100)/(1+'Deuda GNC'!Z113/100))*100</f>
        <v>-4.9205278553248597</v>
      </c>
      <c r="AA133" s="496">
        <f>-('Deuda GNC'!Z69/100)*(('Deuda GNC'!AA113/100)/(1+'Deuda GNC'!AA113/100))*100</f>
        <v>0</v>
      </c>
      <c r="AB133" s="496" t="e">
        <f>-('Deuda GNC'!AA69/100)*(('Deuda GNC'!AB113/100)/(1+'Deuda GNC'!AB113/100))*100</f>
        <v>#DIV/0!</v>
      </c>
      <c r="AC133" s="496" t="e">
        <f>-('Deuda GNC'!AB69/100)*(('Deuda GNC'!AC113/100)/(1+'Deuda GNC'!AC113/100))*100</f>
        <v>#DIV/0!</v>
      </c>
      <c r="AD133" s="496" t="e">
        <f>-('Deuda GNC'!AC69/100)*(('Deuda GNC'!AD113/100)/(1+'Deuda GNC'!AD113/100))*100</f>
        <v>#DIV/0!</v>
      </c>
      <c r="AE133" s="496" t="e">
        <f>-('Deuda GNC'!AD69/100)*(('Deuda GNC'!AE113/100)/(1+'Deuda GNC'!AE113/100))*100</f>
        <v>#DIV/0!</v>
      </c>
      <c r="AF133" s="496" t="e">
        <f>-('Deuda GNC'!AE69/100)*(('Deuda GNC'!AF113/100)/(1+'Deuda GNC'!AF113/100))*100</f>
        <v>#DIV/0!</v>
      </c>
      <c r="AG133" s="496" t="e">
        <f>-('Deuda GNC'!AF69/100)*(('Deuda GNC'!AG113/100)/(1+'Deuda GNC'!AG113/100))*100</f>
        <v>#DIV/0!</v>
      </c>
      <c r="AH133" s="496" t="e">
        <f>-('Deuda GNC'!AG69/100)*(('Deuda GNC'!AH113/100)/(1+'Deuda GNC'!AH113/100))*100</f>
        <v>#DIV/0!</v>
      </c>
      <c r="AI133" s="496" t="e">
        <f>-('Deuda GNC'!AH69/100)*(('Deuda GNC'!AI113/100)/(1+'Deuda GNC'!AI113/100))*100</f>
        <v>#DIV/0!</v>
      </c>
      <c r="AJ133" s="496" t="e">
        <f>-('Deuda GNC'!AI69/100)*(('Deuda GNC'!AJ113/100)/(1+'Deuda GNC'!AJ113/100))*100</f>
        <v>#DIV/0!</v>
      </c>
      <c r="AK133" s="496" t="e">
        <f>-('Deuda GNC'!AJ69/100)*(('Deuda GNC'!AK113/100)/(1+'Deuda GNC'!AK113/100))*100</f>
        <v>#DIV/0!</v>
      </c>
      <c r="AL133" s="497" t="e">
        <f>-('Deuda GNC'!AK69/100)*(('Deuda GNC'!AL113/100)/(1+'Deuda GNC'!AL113/100))*100</f>
        <v>#DIV/0!</v>
      </c>
      <c r="AM133" s="491"/>
      <c r="AN133" s="491"/>
      <c r="AO133" s="491"/>
      <c r="AP133" s="491"/>
      <c r="AQ133" s="491"/>
      <c r="AR133" s="491"/>
      <c r="AS133" s="491"/>
      <c r="AT133" s="491"/>
      <c r="AU133" s="491"/>
      <c r="AV133" s="491"/>
      <c r="AW133" s="491"/>
      <c r="AX133" s="491"/>
      <c r="AY133" s="491"/>
    </row>
    <row r="134" spans="1:54">
      <c r="A134" s="495" t="s">
        <v>95</v>
      </c>
      <c r="B134" s="383"/>
      <c r="C134" s="493">
        <f>('Deuda GNC'!C115/100*(1+'Deuda GNC'!C125/100))/((1+'Deuda GNC'!C112/100)*(1+'Deuda GNC'!C113/100))*(('Deuda GNC'!B118/100)*('Deuda GNC'!B69/100))*100</f>
        <v>2.6770709024924852</v>
      </c>
      <c r="D134" s="493">
        <f>('Deuda GNC'!D115/100*(1+'Deuda GNC'!D125/100))/((1+'Deuda GNC'!D112/100)*(1+'Deuda GNC'!D113/100))*(('Deuda GNC'!C118/100)*('Deuda GNC'!C69/100))*100</f>
        <v>0.42004020145127363</v>
      </c>
      <c r="E134" s="493">
        <f>('Deuda GNC'!E115/100*(1+'Deuda GNC'!E125/100))/((1+'Deuda GNC'!E112/100)*(1+'Deuda GNC'!E113/100))*(('Deuda GNC'!D118/100)*('Deuda GNC'!D69/100))*100</f>
        <v>4.3227740905455505</v>
      </c>
      <c r="F134" s="493">
        <f>('Deuda GNC'!F115/100*(1+'Deuda GNC'!F125/100))/((1+'Deuda GNC'!F112/100)*(1+'Deuda GNC'!F113/100))*(('Deuda GNC'!E118/100)*('Deuda GNC'!E69/100))*100</f>
        <v>-0.62716387246099292</v>
      </c>
      <c r="G134" s="493">
        <f>('Deuda GNC'!G115/100*(1+'Deuda GNC'!G125/100))/((1+'Deuda GNC'!G112/100)*(1+'Deuda GNC'!G113/100))*(('Deuda GNC'!F118/100)*('Deuda GNC'!F69/100))*100</f>
        <v>-2.815938162688632</v>
      </c>
      <c r="H134" s="493">
        <f>('Deuda GNC'!H115/100*(1+'Deuda GNC'!H125/100))/((1+'Deuda GNC'!H112/100)*(1+'Deuda GNC'!H113/100))*(('Deuda GNC'!G118/100)*('Deuda GNC'!G69/100))*100</f>
        <v>-0.73015437476819223</v>
      </c>
      <c r="I134" s="493">
        <f>('Deuda GNC'!I115/100*(1+'Deuda GNC'!I125/100))/((1+'Deuda GNC'!I112/100)*(1+'Deuda GNC'!I113/100))*(('Deuda GNC'!H118/100)*('Deuda GNC'!H69/100))*100</f>
        <v>-0.25563141791198307</v>
      </c>
      <c r="J134" s="493">
        <f>('Deuda GNC'!J115/100*(1+'Deuda GNC'!J125/100))/((1+'Deuda GNC'!J112/100)*(1+'Deuda GNC'!J113/100))*(('Deuda GNC'!I118/100)*('Deuda GNC'!I69/100))*100</f>
        <v>-1.2100886539127109</v>
      </c>
      <c r="K134" s="493">
        <f>('Deuda GNC'!K115/100*(1+'Deuda GNC'!K125/100))/((1+'Deuda GNC'!K112/100)*(1+'Deuda GNC'!K113/100))*(('Deuda GNC'!J118/100)*('Deuda GNC'!J69/100))*100</f>
        <v>1.2006890210183903</v>
      </c>
      <c r="L134" s="493">
        <f>('Deuda GNC'!L115/100*(1+'Deuda GNC'!L125/100))/((1+'Deuda GNC'!L112/100)*(1+'Deuda GNC'!L113/100))*(('Deuda GNC'!K118/100)*('Deuda GNC'!K69/100))*100</f>
        <v>-1.0326544711963956</v>
      </c>
      <c r="M134" s="493">
        <f>('Deuda GNC'!M115/100*(1+'Deuda GNC'!M125/100))/((1+'Deuda GNC'!M112/100)*(1+'Deuda GNC'!M113/100))*(('Deuda GNC'!L118/100)*('Deuda GNC'!L69/100))*100</f>
        <v>-0.68823134700648114</v>
      </c>
      <c r="N134" s="493">
        <f>('Deuda GNC'!N115/100*(1+'Deuda GNC'!N125/100))/((1+'Deuda GNC'!N112/100)*(1+'Deuda GNC'!N113/100))*(('Deuda GNC'!M118/100)*('Deuda GNC'!M69/100))*100</f>
        <v>0.14986895486315879</v>
      </c>
      <c r="O134" s="493">
        <f>('Deuda GNC'!O115/100*(1+'Deuda GNC'!O125/100))/((1+'Deuda GNC'!O112/100)*(1+'Deuda GNC'!O113/100))*(('Deuda GNC'!N118/100)*('Deuda GNC'!N69/100))*100</f>
        <v>-0.87983682780663175</v>
      </c>
      <c r="P134" s="493">
        <f>('Deuda GNC'!P115/100*(1+'Deuda GNC'!P125/100))/((1+'Deuda GNC'!P112/100)*(1+'Deuda GNC'!P113/100))*(('Deuda GNC'!O118/100)*('Deuda GNC'!O69/100))*100</f>
        <v>0.77836599968149467</v>
      </c>
      <c r="Q134" s="493">
        <f>('Deuda GNC'!Q115/100*(1+'Deuda GNC'!Q125/100))/((1+'Deuda GNC'!Q112/100)*(1+'Deuda GNC'!Q113/100))*(('Deuda GNC'!P118/100)*('Deuda GNC'!P69/100))*100</f>
        <v>2.1959174121185301</v>
      </c>
      <c r="R134" s="493">
        <f>('Deuda GNC'!R115/100*(1+'Deuda GNC'!R125/100))/((1+'Deuda GNC'!R112/100)*(1+'Deuda GNC'!R113/100))*(('Deuda GNC'!Q118/100)*('Deuda GNC'!Q69/100))*100</f>
        <v>3.4974923986724824</v>
      </c>
      <c r="S134" s="493">
        <f>('Deuda GNC'!S115/100*(1+'Deuda GNC'!S125/100))/((1+'Deuda GNC'!S112/100)*(1+'Deuda GNC'!S113/100))*(('Deuda GNC'!R118/100)*('Deuda GNC'!R69/100))*100</f>
        <v>-0.70670619557999126</v>
      </c>
      <c r="T134" s="493">
        <f>('Deuda GNC'!T115/100*(1+'Deuda GNC'!T125/100))/((1+'Deuda GNC'!T112/100)*(1+'Deuda GNC'!T113/100))*(('Deuda GNC'!S118/100)*('Deuda GNC'!S69/100))*100</f>
        <v>-8.0609431817006527E-2</v>
      </c>
      <c r="U134" s="493">
        <f>('Deuda GNC'!U115/100*(1+'Deuda GNC'!U125/100))/((1+'Deuda GNC'!U112/100)*(1+'Deuda GNC'!U113/100))*(('Deuda GNC'!T118/100)*('Deuda GNC'!T69/100))*100</f>
        <v>1.2941721086968105</v>
      </c>
      <c r="V134" s="493">
        <f>('Deuda GNC'!V115/100*(1+'Deuda GNC'!V125/100))/((1+'Deuda GNC'!V112/100)*(1+'Deuda GNC'!V113/100))*(('Deuda GNC'!U118/100)*('Deuda GNC'!U69/100))*100</f>
        <v>0.12962341504587571</v>
      </c>
      <c r="W134" s="493">
        <f>('Deuda GNC'!W115/100*(1+'Deuda GNC'!W125/100))/((1+'Deuda GNC'!W112/100)*(1+'Deuda GNC'!W113/100))*(('Deuda GNC'!V118/100)*('Deuda GNC'!V69/100))*100</f>
        <v>0.81245914944355591</v>
      </c>
      <c r="X134" s="493">
        <f>('Deuda GNC'!X115/100*(1+'Deuda GNC'!X125/100))/((1+'Deuda GNC'!X112/100)*(1+'Deuda GNC'!X113/100))*(('Deuda GNC'!W118/100)*('Deuda GNC'!W69/100))*100</f>
        <v>3.0699221164435393</v>
      </c>
      <c r="Y134" s="493">
        <f>('Deuda GNC'!Y115/100*(1+'Deuda GNC'!Y125/100))/((1+'Deuda GNC'!Y112/100)*(1+'Deuda GNC'!Y113/100))*(('Deuda GNC'!X118/100)*('Deuda GNC'!X69/100))*100</f>
        <v>4.2615416088328644</v>
      </c>
      <c r="Z134" s="556">
        <f>('Deuda GNC'!Z115/100*(1+'Deuda GNC'!Z125/100))/((1+'Deuda GNC'!Z112/100)*(1+'Deuda GNC'!Z113/100))*(('Deuda GNC'!Y118/100)*('Deuda GNC'!Y69/100))*100</f>
        <v>-4.6827524696771805</v>
      </c>
      <c r="AA134" s="496">
        <f>('Deuda GNC'!AA115/100*(1+'Deuda GNC'!AA125/100))/((1+'Deuda GNC'!AA112/100)*(1+'Deuda GNC'!AA113/100))*(('Deuda GNC'!Z118/100)*('Deuda GNC'!Z69/100))*100</f>
        <v>-19.504980712772131</v>
      </c>
      <c r="AB134" s="496" t="e">
        <f>('Deuda GNC'!AB115/100*(1+'Deuda GNC'!AB125/100))/((1+'Deuda GNC'!AB112/100)*(1+'Deuda GNC'!AB113/100))*(('Deuda GNC'!AA118/100)*('Deuda GNC'!AA69/100))*100</f>
        <v>#DIV/0!</v>
      </c>
      <c r="AC134" s="496" t="e">
        <f>('Deuda GNC'!AC115/100*(1+'Deuda GNC'!AC125/100))/((1+'Deuda GNC'!AC112/100)*(1+'Deuda GNC'!AC113/100))*(('Deuda GNC'!AB118/100)*('Deuda GNC'!AB69/100))*100</f>
        <v>#DIV/0!</v>
      </c>
      <c r="AD134" s="496" t="e">
        <f>('Deuda GNC'!AD115/100*(1+'Deuda GNC'!AD125/100))/((1+'Deuda GNC'!AD112/100)*(1+'Deuda GNC'!AD113/100))*(('Deuda GNC'!AC118/100)*('Deuda GNC'!AC69/100))*100</f>
        <v>#DIV/0!</v>
      </c>
      <c r="AE134" s="496" t="e">
        <f>('Deuda GNC'!AE115/100*(1+'Deuda GNC'!AE125/100))/((1+'Deuda GNC'!AE112/100)*(1+'Deuda GNC'!AE113/100))*(('Deuda GNC'!AD118/100)*('Deuda GNC'!AD69/100))*100</f>
        <v>#DIV/0!</v>
      </c>
      <c r="AF134" s="496" t="e">
        <f>('Deuda GNC'!AF115/100*(1+'Deuda GNC'!AF125/100))/((1+'Deuda GNC'!AF112/100)*(1+'Deuda GNC'!AF113/100))*(('Deuda GNC'!AE118/100)*('Deuda GNC'!AE69/100))*100</f>
        <v>#DIV/0!</v>
      </c>
      <c r="AG134" s="496" t="e">
        <f>('Deuda GNC'!AG115/100*(1+'Deuda GNC'!AG125/100))/((1+'Deuda GNC'!AG112/100)*(1+'Deuda GNC'!AG113/100))*(('Deuda GNC'!AF118/100)*('Deuda GNC'!AF69/100))*100</f>
        <v>#DIV/0!</v>
      </c>
      <c r="AH134" s="496" t="e">
        <f>('Deuda GNC'!AH115/100*(1+'Deuda GNC'!AH125/100))/((1+'Deuda GNC'!AH112/100)*(1+'Deuda GNC'!AH113/100))*(('Deuda GNC'!AG118/100)*('Deuda GNC'!AG69/100))*100</f>
        <v>#DIV/0!</v>
      </c>
      <c r="AI134" s="496" t="e">
        <f>('Deuda GNC'!AI115/100*(1+'Deuda GNC'!AI125/100))/((1+'Deuda GNC'!AI112/100)*(1+'Deuda GNC'!AI113/100))*(('Deuda GNC'!AH118/100)*('Deuda GNC'!AH69/100))*100</f>
        <v>#DIV/0!</v>
      </c>
      <c r="AJ134" s="496" t="e">
        <f>('Deuda GNC'!AJ115/100*(1+'Deuda GNC'!AJ125/100))/((1+'Deuda GNC'!AJ112/100)*(1+'Deuda GNC'!AJ113/100))*(('Deuda GNC'!AI118/100)*('Deuda GNC'!AI69/100))*100</f>
        <v>#DIV/0!</v>
      </c>
      <c r="AK134" s="496" t="e">
        <f>('Deuda GNC'!AK115/100*(1+'Deuda GNC'!AK125/100))/((1+'Deuda GNC'!AK112/100)*(1+'Deuda GNC'!AK113/100))*(('Deuda GNC'!AJ118/100)*('Deuda GNC'!AJ69/100))*100</f>
        <v>#DIV/0!</v>
      </c>
      <c r="AL134" s="497" t="e">
        <f>('Deuda GNC'!AL115/100*(1+'Deuda GNC'!AL125/100))/((1+'Deuda GNC'!AL112/100)*(1+'Deuda GNC'!AL113/100))*(('Deuda GNC'!AK118/100)*('Deuda GNC'!AK69/100))*100</f>
        <v>#DIV/0!</v>
      </c>
      <c r="AM134" s="491"/>
      <c r="AN134" s="491"/>
      <c r="AO134" s="491"/>
      <c r="AP134" s="491"/>
      <c r="AQ134" s="491"/>
      <c r="AR134" s="491"/>
      <c r="AS134" s="491"/>
      <c r="AT134" s="491"/>
      <c r="AU134" s="491"/>
      <c r="AV134" s="491"/>
      <c r="AW134" s="491"/>
      <c r="AX134" s="491"/>
      <c r="AY134" s="491"/>
    </row>
    <row r="135" spans="1:54">
      <c r="A135" s="495" t="s">
        <v>135</v>
      </c>
      <c r="B135" s="498"/>
      <c r="C135" s="493">
        <f>-'Deuda GNC'!C119</f>
        <v>1.4893641356065417</v>
      </c>
      <c r="D135" s="493">
        <f>-'Deuda GNC'!D119</f>
        <v>1.4091481238925774</v>
      </c>
      <c r="E135" s="493">
        <f>-'Deuda GNC'!E119</f>
        <v>1.7310970318957071</v>
      </c>
      <c r="F135" s="493">
        <f>-'Deuda GNC'!F119</f>
        <v>0.48877448213906943</v>
      </c>
      <c r="G135" s="493">
        <f>-'Deuda GNC'!G119</f>
        <v>0.93683306688121304</v>
      </c>
      <c r="H135" s="493">
        <f>-'Deuda GNC'!H119</f>
        <v>0.88562840036689061</v>
      </c>
      <c r="I135" s="493">
        <f>-'Deuda GNC'!I119</f>
        <v>-0.23472553640037341</v>
      </c>
      <c r="J135" s="493">
        <f>-'Deuda GNC'!J119</f>
        <v>-1.002239972811533</v>
      </c>
      <c r="K135" s="493">
        <f>-'Deuda GNC'!K119</f>
        <v>-0.90185179294328655</v>
      </c>
      <c r="L135" s="493">
        <f>-'Deuda GNC'!L119</f>
        <v>1.1096844851208436</v>
      </c>
      <c r="M135" s="493">
        <f>-'Deuda GNC'!M119</f>
        <v>1.1344431298088549</v>
      </c>
      <c r="N135" s="493">
        <f>-'Deuda GNC'!N119</f>
        <v>0.11444338688612456</v>
      </c>
      <c r="O135" s="493">
        <f>-'Deuda GNC'!O119</f>
        <v>-0.24172927284944751</v>
      </c>
      <c r="P135" s="493">
        <f>-'Deuda GNC'!P119</f>
        <v>3.9480641665590607E-2</v>
      </c>
      <c r="Q135" s="493">
        <f>-'Deuda GNC'!Q119</f>
        <v>0.18048234968856788</v>
      </c>
      <c r="R135" s="493">
        <f>-'Deuda GNC'!R119</f>
        <v>0.45020642068323613</v>
      </c>
      <c r="S135" s="493">
        <f>-'Deuda GNC'!S119</f>
        <v>1.1048773145732005</v>
      </c>
      <c r="T135" s="493">
        <f>-'Deuda GNC'!T119</f>
        <v>0.76249404558689915</v>
      </c>
      <c r="U135" s="493">
        <f>-'Deuda GNC'!U119</f>
        <v>0.34164852666381285</v>
      </c>
      <c r="V135" s="493">
        <f>-'Deuda GNC'!V119</f>
        <v>-0.44826667284460664</v>
      </c>
      <c r="W135" s="493">
        <f>-'Deuda GNC'!W119</f>
        <v>4.9538958629533534</v>
      </c>
      <c r="X135" s="493">
        <f>-'Deuda GNC'!X119</f>
        <v>3.6451099520905785</v>
      </c>
      <c r="Y135" s="493">
        <f>-'Deuda GNC'!Y119</f>
        <v>0.98560702258717359</v>
      </c>
      <c r="Z135" s="556">
        <f>-'Deuda GNC'!Z119</f>
        <v>0</v>
      </c>
      <c r="AA135" s="496">
        <f>-'Deuda GNC'!AA119</f>
        <v>0</v>
      </c>
      <c r="AB135" s="496">
        <f>-'Deuda GNC'!AB119</f>
        <v>0</v>
      </c>
      <c r="AC135" s="496">
        <f>-'Deuda GNC'!AC119</f>
        <v>0</v>
      </c>
      <c r="AD135" s="496">
        <f>-'Deuda GNC'!AD119</f>
        <v>0</v>
      </c>
      <c r="AE135" s="496">
        <f>-'Deuda GNC'!AE119</f>
        <v>0</v>
      </c>
      <c r="AF135" s="496">
        <f>-'Deuda GNC'!AF119</f>
        <v>0</v>
      </c>
      <c r="AG135" s="496">
        <f>-'Deuda GNC'!AG119</f>
        <v>0</v>
      </c>
      <c r="AH135" s="496">
        <f>-'Deuda GNC'!AH119</f>
        <v>0</v>
      </c>
      <c r="AI135" s="496">
        <f>-'Deuda GNC'!AI119</f>
        <v>0</v>
      </c>
      <c r="AJ135" s="496">
        <f>-'Deuda GNC'!AJ119</f>
        <v>0</v>
      </c>
      <c r="AK135" s="496">
        <f>-'Deuda GNC'!AK119</f>
        <v>0</v>
      </c>
      <c r="AL135" s="497">
        <f>-'Deuda GNC'!AL119</f>
        <v>0</v>
      </c>
      <c r="AM135" s="491"/>
      <c r="AN135" s="491"/>
      <c r="AO135" s="491"/>
      <c r="AP135" s="491"/>
      <c r="AQ135" s="491"/>
      <c r="AR135" s="491"/>
      <c r="AS135" s="491"/>
      <c r="AT135" s="491"/>
      <c r="AU135" s="491"/>
      <c r="AV135" s="491"/>
      <c r="AW135" s="491"/>
      <c r="AX135" s="491"/>
      <c r="AY135" s="491"/>
    </row>
    <row r="136" spans="1:54">
      <c r="A136" s="495" t="s">
        <v>33</v>
      </c>
      <c r="B136" s="383"/>
      <c r="C136" s="493">
        <f>'Deuda GNC'!B69/100*(('Deuda GNC'!C126/100)/((1+'Deuda GNC'!C112/100)*(1+'Deuda GNC'!C113/100)))*100</f>
        <v>4.0220552180924694</v>
      </c>
      <c r="D136" s="493">
        <f>'Deuda GNC'!C69/100*(('Deuda GNC'!D126/100)/((1+'Deuda GNC'!D112/100)*(1+'Deuda GNC'!D113/100)))*100</f>
        <v>3.4884419140284653</v>
      </c>
      <c r="E136" s="493">
        <f>'Deuda GNC'!D69/100*(('Deuda GNC'!E126/100)/((1+'Deuda GNC'!E112/100)*(1+'Deuda GNC'!E113/100)))*100</f>
        <v>3.4817770715858862</v>
      </c>
      <c r="F136" s="493">
        <f>'Deuda GNC'!E69/100*(('Deuda GNC'!F126/100)/((1+'Deuda GNC'!F112/100)*(1+'Deuda GNC'!F113/100)))*100</f>
        <v>3.8635853265282813</v>
      </c>
      <c r="G136" s="493">
        <f>'Deuda GNC'!F69/100*(('Deuda GNC'!G126/100)/((1+'Deuda GNC'!G112/100)*(1+'Deuda GNC'!G113/100)))*100</f>
        <v>3.6889463757557364</v>
      </c>
      <c r="H136" s="493">
        <f>'Deuda GNC'!G69/100*(('Deuda GNC'!H126/100)/((1+'Deuda GNC'!H112/100)*(1+'Deuda GNC'!H113/100)))*100</f>
        <v>3.1636675900720972</v>
      </c>
      <c r="I136" s="493">
        <f>'Deuda GNC'!H69/100*(('Deuda GNC'!I126/100)/((1+'Deuda GNC'!I112/100)*(1+'Deuda GNC'!I113/100)))*100</f>
        <v>3.7059814206696462</v>
      </c>
      <c r="J136" s="493">
        <f>'Deuda GNC'!I69/100*(('Deuda GNC'!J126/100)/((1+'Deuda GNC'!J112/100)*(1+'Deuda GNC'!J113/100)))*100</f>
        <v>3.6952038922550057</v>
      </c>
      <c r="K136" s="493">
        <f>'Deuda GNC'!J69/100*(('Deuda GNC'!K126/100)/((1+'Deuda GNC'!K112/100)*(1+'Deuda GNC'!K113/100)))*100</f>
        <v>3.2243999238009122</v>
      </c>
      <c r="L136" s="493">
        <f>'Deuda GNC'!K69/100*(('Deuda GNC'!L126/100)/((1+'Deuda GNC'!L112/100)*(1+'Deuda GNC'!L113/100)))*100</f>
        <v>3.0813880956873994</v>
      </c>
      <c r="M136" s="493">
        <f>'Deuda GNC'!L69/100*(('Deuda GNC'!M126/100)/((1+'Deuda GNC'!M112/100)*(1+'Deuda GNC'!M113/100)))*100</f>
        <v>2.7456910567919648</v>
      </c>
      <c r="N136" s="493">
        <f>'Deuda GNC'!M69/100*(('Deuda GNC'!N126/100)/((1+'Deuda GNC'!N112/100)*(1+'Deuda GNC'!N113/100)))*100</f>
        <v>2.783272428165958</v>
      </c>
      <c r="O136" s="493">
        <f>'Deuda GNC'!N69/100*(('Deuda GNC'!O126/100)/((1+'Deuda GNC'!O112/100)*(1+'Deuda GNC'!O113/100)))*100</f>
        <v>2.5878477026723643</v>
      </c>
      <c r="P136" s="493">
        <f>'Deuda GNC'!O69/100*(('Deuda GNC'!P126/100)/((1+'Deuda GNC'!P112/100)*(1+'Deuda GNC'!P113/100)))*100</f>
        <v>2.2907805009704041</v>
      </c>
      <c r="Q136" s="493">
        <f>'Deuda GNC'!P69/100*(('Deuda GNC'!Q126/100)/((1+'Deuda GNC'!Q112/100)*(1+'Deuda GNC'!Q113/100)))*100</f>
        <v>2.1950528495906445</v>
      </c>
      <c r="R136" s="493">
        <f>'Deuda GNC'!Q69/100*(('Deuda GNC'!R126/100)/((1+'Deuda GNC'!R112/100)*(1+'Deuda GNC'!R113/100)))*100</f>
        <v>2.4618538603621491</v>
      </c>
      <c r="S136" s="493">
        <f>'Deuda GNC'!R69/100*(('Deuda GNC'!S126/100)/((1+'Deuda GNC'!S112/100)*(1+'Deuda GNC'!S113/100)))*100</f>
        <v>2.9217212626607836</v>
      </c>
      <c r="T136" s="493">
        <f>'Deuda GNC'!S69/100*(('Deuda GNC'!T126/100)/((1+'Deuda GNC'!T112/100)*(1+'Deuda GNC'!T113/100)))*100</f>
        <v>2.9206613627926137</v>
      </c>
      <c r="U136" s="493">
        <f>'Deuda GNC'!T69/100*(('Deuda GNC'!U126/100)/((1+'Deuda GNC'!U112/100)*(1+'Deuda GNC'!U113/100)))*100</f>
        <v>2.8204603196653513</v>
      </c>
      <c r="V136" s="493">
        <f>'Deuda GNC'!U69/100*(('Deuda GNC'!V126/100)/((1+'Deuda GNC'!V112/100)*(1+'Deuda GNC'!V113/100)))*100</f>
        <v>2.9111823821445926</v>
      </c>
      <c r="W136" s="493">
        <f>'Deuda GNC'!V69/100*(('Deuda GNC'!W126/100)/((1+'Deuda GNC'!W112/100)*(1+'Deuda GNC'!W113/100)))*100</f>
        <v>2.8364401603088467</v>
      </c>
      <c r="X136" s="493">
        <f>'Deuda GNC'!W69/100*(('Deuda GNC'!X126/100)/((1+'Deuda GNC'!X112/100)*(1+'Deuda GNC'!X113/100)))*100</f>
        <v>3.3915171245432409</v>
      </c>
      <c r="Y136" s="493">
        <f>'Deuda GNC'!X69/100*(('Deuda GNC'!Y126/100)/((1+'Deuda GNC'!Y112/100)*(1+'Deuda GNC'!Y113/100)))*100</f>
        <v>4.3640938856614353</v>
      </c>
      <c r="Z136" s="556">
        <f>'Deuda GNC'!Y69/100*(('Deuda GNC'!Z126/100)/((1+'Deuda GNC'!Z112/100)*(1+'Deuda GNC'!Z113/100)))*100</f>
        <v>3.8226172649332133</v>
      </c>
      <c r="AA136" s="496">
        <f>'Deuda GNC'!Z69/100*(('Deuda GNC'!AA126/100)/((1+'Deuda GNC'!AA112/100)*(1+'Deuda GNC'!AA113/100)))*100</f>
        <v>3.9704708516313283</v>
      </c>
      <c r="AB136" s="496" t="e">
        <f>'Deuda GNC'!AA69/100*(('Deuda GNC'!AB126/100)/((1+'Deuda GNC'!AB112/100)*(1+'Deuda GNC'!AB113/100)))*100</f>
        <v>#DIV/0!</v>
      </c>
      <c r="AC136" s="496" t="e">
        <f>'Deuda GNC'!AB69/100*(('Deuda GNC'!AC126/100)/((1+'Deuda GNC'!AC112/100)*(1+'Deuda GNC'!AC113/100)))*100</f>
        <v>#DIV/0!</v>
      </c>
      <c r="AD136" s="496" t="e">
        <f>'Deuda GNC'!AC69/100*(('Deuda GNC'!AD126/100)/((1+'Deuda GNC'!AD112/100)*(1+'Deuda GNC'!AD113/100)))*100</f>
        <v>#DIV/0!</v>
      </c>
      <c r="AE136" s="496" t="e">
        <f>'Deuda GNC'!AD69/100*(('Deuda GNC'!AE126/100)/((1+'Deuda GNC'!AE112/100)*(1+'Deuda GNC'!AE113/100)))*100</f>
        <v>#DIV/0!</v>
      </c>
      <c r="AF136" s="496" t="e">
        <f>'Deuda GNC'!AE69/100*(('Deuda GNC'!AF126/100)/((1+'Deuda GNC'!AF112/100)*(1+'Deuda GNC'!AF113/100)))*100</f>
        <v>#DIV/0!</v>
      </c>
      <c r="AG136" s="496" t="e">
        <f>'Deuda GNC'!AF69/100*(('Deuda GNC'!AG126/100)/((1+'Deuda GNC'!AG112/100)*(1+'Deuda GNC'!AG113/100)))*100</f>
        <v>#DIV/0!</v>
      </c>
      <c r="AH136" s="496" t="e">
        <f>'Deuda GNC'!AG69/100*(('Deuda GNC'!AH126/100)/((1+'Deuda GNC'!AH112/100)*(1+'Deuda GNC'!AH113/100)))*100</f>
        <v>#DIV/0!</v>
      </c>
      <c r="AI136" s="496" t="e">
        <f>'Deuda GNC'!AH69/100*(('Deuda GNC'!AI126/100)/((1+'Deuda GNC'!AI112/100)*(1+'Deuda GNC'!AI113/100)))*100</f>
        <v>#DIV/0!</v>
      </c>
      <c r="AJ136" s="496" t="e">
        <f>'Deuda GNC'!AI69/100*(('Deuda GNC'!AJ126/100)/((1+'Deuda GNC'!AJ112/100)*(1+'Deuda GNC'!AJ113/100)))*100</f>
        <v>#DIV/0!</v>
      </c>
      <c r="AK136" s="496" t="e">
        <f>'Deuda GNC'!AJ69/100*(('Deuda GNC'!AK126/100)/((1+'Deuda GNC'!AK112/100)*(1+'Deuda GNC'!AK113/100)))*100</f>
        <v>#DIV/0!</v>
      </c>
      <c r="AL136" s="497" t="e">
        <f>'Deuda GNC'!AK69/100*(('Deuda GNC'!AL126/100)/((1+'Deuda GNC'!AL112/100)*(1+'Deuda GNC'!AL113/100)))*100</f>
        <v>#DIV/0!</v>
      </c>
      <c r="AM136" s="491"/>
      <c r="AN136" s="491"/>
      <c r="AO136" s="491"/>
      <c r="AP136" s="491"/>
      <c r="AQ136" s="491"/>
      <c r="AR136" s="491"/>
      <c r="AS136" s="491"/>
      <c r="AT136" s="491"/>
      <c r="AU136" s="491"/>
      <c r="AV136" s="491"/>
      <c r="AW136" s="491"/>
      <c r="AX136" s="491"/>
      <c r="AY136" s="491"/>
    </row>
    <row r="137" spans="1:54">
      <c r="A137" s="495" t="s">
        <v>319</v>
      </c>
      <c r="B137" s="498"/>
      <c r="C137" s="493">
        <f>('Deuda GNC'!C66-'Deuda GNC'!B66)</f>
        <v>-0.44891249591907312</v>
      </c>
      <c r="D137" s="493">
        <f>('Deuda GNC'!D66-'Deuda GNC'!C66)</f>
        <v>1.3024388374118714</v>
      </c>
      <c r="E137" s="493">
        <f>('Deuda GNC'!E66-'Deuda GNC'!D66)</f>
        <v>-1.5951945447949436</v>
      </c>
      <c r="F137" s="493">
        <f>('Deuda GNC'!F66-'Deuda GNC'!E66)</f>
        <v>0.19996590464633146</v>
      </c>
      <c r="G137" s="493">
        <f>('Deuda GNC'!G66-'Deuda GNC'!F66)</f>
        <v>0.67741977416033894</v>
      </c>
      <c r="H137" s="493">
        <f>('Deuda GNC'!H66-'Deuda GNC'!G66)</f>
        <v>0.43502589941204772</v>
      </c>
      <c r="I137" s="493">
        <f>('Deuda GNC'!I66-'Deuda GNC'!H66)</f>
        <v>-0.16726708940977719</v>
      </c>
      <c r="J137" s="493">
        <f>('Deuda GNC'!J66-'Deuda GNC'!I66)</f>
        <v>-1.2680786539054776</v>
      </c>
      <c r="K137" s="493">
        <f>('Deuda GNC'!K66-'Deuda GNC'!J66)</f>
        <v>1.0044681270814593E-2</v>
      </c>
      <c r="L137" s="493">
        <f>('Deuda GNC'!L66-'Deuda GNC'!K66)</f>
        <v>0.5597847994931977</v>
      </c>
      <c r="M137" s="493">
        <f>('Deuda GNC'!M66-'Deuda GNC'!L66)</f>
        <v>8.7567225005138249E-2</v>
      </c>
      <c r="N137" s="493">
        <f>('Deuda GNC'!N66-'Deuda GNC'!M66)</f>
        <v>0.44520446137245107</v>
      </c>
      <c r="O137" s="493">
        <f>('Deuda GNC'!O66-'Deuda GNC'!N66)</f>
        <v>-0.85996465402489553</v>
      </c>
      <c r="P137" s="493">
        <f>('Deuda GNC'!P66-'Deuda GNC'!O66)</f>
        <v>1.4280717762755282</v>
      </c>
      <c r="Q137" s="493">
        <f>('Deuda GNC'!Q66-'Deuda GNC'!P66)</f>
        <v>0.73237276800721585</v>
      </c>
      <c r="R137" s="493">
        <f>('Deuda GNC'!R66-'Deuda GNC'!Q66)</f>
        <v>-0.35017032603763765</v>
      </c>
      <c r="S137" s="493">
        <f>('Deuda GNC'!S66-'Deuda GNC'!R66)</f>
        <v>-0.38016582965559831</v>
      </c>
      <c r="T137" s="493">
        <f>('Deuda GNC'!T66-'Deuda GNC'!S66)</f>
        <v>0.13409531184287893</v>
      </c>
      <c r="U137" s="493">
        <f>('Deuda GNC'!U66-'Deuda GNC'!T66)</f>
        <v>0.39136177448690779</v>
      </c>
      <c r="V137" s="493">
        <f>('Deuda GNC'!V66-'Deuda GNC'!U66)</f>
        <v>-1.0305181076892054</v>
      </c>
      <c r="W137" s="493">
        <f>('Deuda GNC'!W66-'Deuda GNC'!V66)</f>
        <v>2.4258683504866889</v>
      </c>
      <c r="X137" s="493">
        <f>('Deuda GNC'!X66-'Deuda GNC'!W66)</f>
        <v>-1.4591913396865213</v>
      </c>
      <c r="Y137" s="493">
        <f>('Deuda GNC'!Y66-'Deuda GNC'!X66)</f>
        <v>0.2747448122172762</v>
      </c>
      <c r="Z137" s="556">
        <f>('Deuda GNC'!Z66-'Deuda GNC'!Y66)</f>
        <v>-3.1963626726928056</v>
      </c>
      <c r="AA137" s="496">
        <f>('Deuda GNC'!AA66-'Deuda GNC'!Z66)</f>
        <v>0</v>
      </c>
      <c r="AB137" s="496">
        <f>('Deuda GNC'!AB66-'Deuda GNC'!AA66)</f>
        <v>0</v>
      </c>
      <c r="AC137" s="496">
        <f>('Deuda GNC'!AC66-'Deuda GNC'!AB66)</f>
        <v>0</v>
      </c>
      <c r="AD137" s="496">
        <f>('Deuda GNC'!AD66-'Deuda GNC'!AC66)</f>
        <v>0</v>
      </c>
      <c r="AE137" s="496">
        <f>('Deuda GNC'!AE66-'Deuda GNC'!AD66)</f>
        <v>0</v>
      </c>
      <c r="AF137" s="496">
        <f>('Deuda GNC'!AF66-'Deuda GNC'!AE66)</f>
        <v>0</v>
      </c>
      <c r="AG137" s="496">
        <f>('Deuda GNC'!AG66-'Deuda GNC'!AF66)</f>
        <v>0</v>
      </c>
      <c r="AH137" s="496">
        <f>('Deuda GNC'!AH66-'Deuda GNC'!AG66)</f>
        <v>0</v>
      </c>
      <c r="AI137" s="496">
        <f>('Deuda GNC'!AI66-'Deuda GNC'!AH66)</f>
        <v>0</v>
      </c>
      <c r="AJ137" s="496">
        <f>('Deuda GNC'!AJ66-'Deuda GNC'!AI66)</f>
        <v>0</v>
      </c>
      <c r="AK137" s="496">
        <f>('Deuda GNC'!AK66-'Deuda GNC'!AJ66)</f>
        <v>0</v>
      </c>
      <c r="AL137" s="497">
        <f>('Deuda GNC'!AL66-'Deuda GNC'!AK66)</f>
        <v>0</v>
      </c>
      <c r="AM137" s="491"/>
      <c r="AN137" s="491"/>
      <c r="AO137" s="491"/>
      <c r="AP137" s="491"/>
      <c r="AQ137" s="491"/>
      <c r="AR137" s="491"/>
      <c r="AS137" s="491"/>
      <c r="AT137" s="491"/>
      <c r="AU137" s="491"/>
      <c r="AV137" s="491"/>
      <c r="AW137" s="491"/>
      <c r="AX137" s="491"/>
      <c r="AY137" s="491"/>
    </row>
    <row r="138" spans="1:54" s="31" customFormat="1">
      <c r="A138" s="499" t="s">
        <v>320</v>
      </c>
      <c r="B138" s="500"/>
      <c r="C138" s="501">
        <f t="shared" ref="C138:AL138" si="28">C130-SUM(C132:C137)</f>
        <v>-1.7605844503973458</v>
      </c>
      <c r="D138" s="501">
        <f t="shared" si="28"/>
        <v>-0.19463206013536194</v>
      </c>
      <c r="E138" s="501">
        <f t="shared" si="28"/>
        <v>2.7188432758820911</v>
      </c>
      <c r="F138" s="501">
        <f t="shared" si="28"/>
        <v>-0.32073675861948348</v>
      </c>
      <c r="G138" s="501">
        <f t="shared" si="28"/>
        <v>-2.1213407277366283</v>
      </c>
      <c r="H138" s="501">
        <f t="shared" si="28"/>
        <v>-1.0299416040715175</v>
      </c>
      <c r="I138" s="501">
        <f t="shared" si="28"/>
        <v>-1.101901574434236</v>
      </c>
      <c r="J138" s="501">
        <f t="shared" si="28"/>
        <v>1.6546674728013215</v>
      </c>
      <c r="K138" s="501">
        <f t="shared" si="28"/>
        <v>-0.41606928823836675</v>
      </c>
      <c r="L138" s="501">
        <f t="shared" si="28"/>
        <v>-1.3507818867434089</v>
      </c>
      <c r="M138" s="501">
        <f t="shared" si="28"/>
        <v>-0.18632887888454497</v>
      </c>
      <c r="N138" s="501">
        <f t="shared" si="28"/>
        <v>-2.4447401209062463</v>
      </c>
      <c r="O138" s="501">
        <f t="shared" si="28"/>
        <v>0.25030703299555523</v>
      </c>
      <c r="P138" s="501">
        <f t="shared" si="28"/>
        <v>-1.2973124130307871</v>
      </c>
      <c r="Q138" s="501">
        <f t="shared" si="28"/>
        <v>-0.15550861570425578</v>
      </c>
      <c r="R138" s="501">
        <f t="shared" si="28"/>
        <v>2.3188129895499903</v>
      </c>
      <c r="S138" s="501">
        <f t="shared" si="28"/>
        <v>1.5338988571977512</v>
      </c>
      <c r="T138" s="501">
        <f t="shared" si="28"/>
        <v>-0.86576906313044044</v>
      </c>
      <c r="U138" s="501">
        <f t="shared" si="28"/>
        <v>0.12098700881694935</v>
      </c>
      <c r="V138" s="501">
        <f t="shared" si="28"/>
        <v>3.5590674379640719</v>
      </c>
      <c r="W138" s="501">
        <f t="shared" si="28"/>
        <v>-1.6736254796593073</v>
      </c>
      <c r="X138" s="501">
        <f t="shared" si="28"/>
        <v>-0.36085782533434152</v>
      </c>
      <c r="Y138" s="501">
        <f t="shared" si="28"/>
        <v>-1.4254969024000963</v>
      </c>
      <c r="Z138" s="557">
        <f t="shared" si="28"/>
        <v>8.0742480230587397</v>
      </c>
      <c r="AA138" s="502" t="e">
        <f t="shared" si="28"/>
        <v>#DIV/0!</v>
      </c>
      <c r="AB138" s="502" t="e">
        <f t="shared" si="28"/>
        <v>#DIV/0!</v>
      </c>
      <c r="AC138" s="502" t="e">
        <f t="shared" si="28"/>
        <v>#DIV/0!</v>
      </c>
      <c r="AD138" s="502" t="e">
        <f t="shared" si="28"/>
        <v>#DIV/0!</v>
      </c>
      <c r="AE138" s="502" t="e">
        <f t="shared" si="28"/>
        <v>#DIV/0!</v>
      </c>
      <c r="AF138" s="502" t="e">
        <f t="shared" si="28"/>
        <v>#DIV/0!</v>
      </c>
      <c r="AG138" s="502" t="e">
        <f t="shared" si="28"/>
        <v>#DIV/0!</v>
      </c>
      <c r="AH138" s="502" t="e">
        <f t="shared" si="28"/>
        <v>#DIV/0!</v>
      </c>
      <c r="AI138" s="502" t="e">
        <f t="shared" si="28"/>
        <v>#DIV/0!</v>
      </c>
      <c r="AJ138" s="502" t="e">
        <f t="shared" si="28"/>
        <v>#DIV/0!</v>
      </c>
      <c r="AK138" s="502" t="e">
        <f t="shared" si="28"/>
        <v>#DIV/0!</v>
      </c>
      <c r="AL138" s="503" t="e">
        <f t="shared" si="28"/>
        <v>#DIV/0!</v>
      </c>
      <c r="AM138" s="491"/>
      <c r="AN138" s="491"/>
      <c r="AO138" s="491"/>
      <c r="AP138" s="491"/>
      <c r="AQ138" s="491"/>
      <c r="AR138" s="491"/>
      <c r="AS138" s="491"/>
      <c r="AT138" s="491"/>
      <c r="AU138" s="491"/>
      <c r="AV138" s="491"/>
      <c r="AW138" s="491"/>
      <c r="AX138" s="491"/>
      <c r="AY138" s="491"/>
      <c r="AZ138" s="2"/>
      <c r="BA138" s="2"/>
      <c r="BB138" s="2"/>
    </row>
    <row r="139" spans="1:54" s="31" customFormat="1">
      <c r="A139" s="504"/>
      <c r="B139" s="498"/>
      <c r="C139" s="493"/>
      <c r="D139" s="493"/>
      <c r="E139" s="493"/>
      <c r="F139" s="493"/>
      <c r="G139" s="493"/>
      <c r="H139" s="493"/>
      <c r="I139" s="493"/>
      <c r="J139" s="493"/>
      <c r="K139" s="493"/>
      <c r="L139" s="493"/>
      <c r="M139" s="493"/>
      <c r="N139" s="493"/>
      <c r="O139" s="493"/>
      <c r="P139" s="493"/>
      <c r="Q139" s="493"/>
      <c r="R139" s="493"/>
      <c r="S139" s="493"/>
      <c r="T139" s="493"/>
      <c r="U139" s="493"/>
      <c r="V139" s="493"/>
      <c r="W139" s="493"/>
      <c r="X139" s="493"/>
      <c r="Y139" s="493"/>
      <c r="Z139" s="556"/>
      <c r="AA139" s="496"/>
      <c r="AB139" s="496"/>
      <c r="AC139" s="496"/>
      <c r="AD139" s="496"/>
      <c r="AE139" s="496"/>
      <c r="AF139" s="496"/>
      <c r="AG139" s="496"/>
      <c r="AH139" s="496"/>
      <c r="AI139" s="496"/>
      <c r="AJ139" s="496"/>
      <c r="AK139" s="496"/>
      <c r="AL139" s="496"/>
      <c r="AM139" s="491"/>
      <c r="AN139" s="491"/>
      <c r="AO139" s="491"/>
      <c r="AP139" s="491"/>
      <c r="AQ139" s="491"/>
      <c r="AR139" s="491"/>
      <c r="AS139" s="491"/>
      <c r="AT139" s="491"/>
      <c r="AU139" s="491"/>
      <c r="AV139" s="491"/>
      <c r="AW139" s="491"/>
      <c r="AX139" s="491"/>
      <c r="AY139" s="491"/>
      <c r="AZ139" s="2"/>
      <c r="BA139" s="2"/>
      <c r="BB139" s="2"/>
    </row>
    <row r="140" spans="1:54" s="182" customFormat="1">
      <c r="A140" s="571" t="s">
        <v>345</v>
      </c>
      <c r="B140" s="572">
        <v>1999</v>
      </c>
      <c r="C140" s="572">
        <v>2000</v>
      </c>
      <c r="D140" s="572">
        <v>2001</v>
      </c>
      <c r="E140" s="572">
        <v>2002</v>
      </c>
      <c r="F140" s="572">
        <v>2003</v>
      </c>
      <c r="G140" s="572">
        <v>2004</v>
      </c>
      <c r="H140" s="572">
        <v>2005</v>
      </c>
      <c r="I140" s="572">
        <v>2006</v>
      </c>
      <c r="J140" s="572">
        <v>2007</v>
      </c>
      <c r="K140" s="572">
        <v>2008</v>
      </c>
      <c r="L140" s="572">
        <v>2009</v>
      </c>
      <c r="M140" s="572">
        <v>2010</v>
      </c>
      <c r="N140" s="572">
        <v>2011</v>
      </c>
      <c r="O140" s="572">
        <v>2012</v>
      </c>
      <c r="P140" s="572">
        <v>2013</v>
      </c>
      <c r="Q140" s="572">
        <v>2014</v>
      </c>
      <c r="R140" s="572">
        <v>2015</v>
      </c>
      <c r="S140" s="572">
        <v>2016</v>
      </c>
      <c r="T140" s="572">
        <v>2017</v>
      </c>
      <c r="U140" s="572">
        <v>2018</v>
      </c>
      <c r="V140" s="572">
        <v>2019</v>
      </c>
      <c r="W140" s="572">
        <v>2020</v>
      </c>
      <c r="X140" s="572">
        <v>2021</v>
      </c>
      <c r="Y140" s="572">
        <v>2022</v>
      </c>
      <c r="Z140" s="573">
        <v>2023</v>
      </c>
      <c r="AA140" s="572">
        <v>2024</v>
      </c>
      <c r="AB140" s="572">
        <v>2025</v>
      </c>
      <c r="AC140" s="572">
        <v>2026</v>
      </c>
      <c r="AD140" s="572">
        <v>2027</v>
      </c>
      <c r="AE140" s="572">
        <v>2028</v>
      </c>
      <c r="AF140" s="572">
        <v>2029</v>
      </c>
      <c r="AG140" s="572">
        <v>2030</v>
      </c>
      <c r="AH140" s="572">
        <v>2031</v>
      </c>
      <c r="AI140" s="572">
        <v>2032</v>
      </c>
      <c r="AJ140" s="572">
        <v>2033</v>
      </c>
      <c r="AK140" s="572">
        <v>2034</v>
      </c>
      <c r="AL140" s="574">
        <v>2035</v>
      </c>
      <c r="AM140" s="37"/>
      <c r="AN140" s="37"/>
      <c r="AO140" s="37"/>
      <c r="AP140" s="37"/>
      <c r="AQ140" s="37"/>
      <c r="AR140" s="37"/>
      <c r="AS140" s="37"/>
      <c r="AT140" s="37"/>
      <c r="AU140" s="37"/>
      <c r="AV140" s="37"/>
      <c r="AW140" s="37"/>
      <c r="AX140" s="37"/>
      <c r="AY140" s="37"/>
    </row>
    <row r="141" spans="1:54" s="31" customFormat="1">
      <c r="A141" s="576" t="s">
        <v>25</v>
      </c>
      <c r="B141" s="498"/>
      <c r="C141" s="493">
        <f t="shared" ref="C141:AL141" si="29">(((1+C126/100)/(1+C113/100))-1)*100</f>
        <v>4.2828346094933911</v>
      </c>
      <c r="D141" s="493">
        <f t="shared" si="29"/>
        <v>2.8781742751315953</v>
      </c>
      <c r="E141" s="493">
        <f t="shared" si="29"/>
        <v>2.5971265446326663</v>
      </c>
      <c r="F141" s="493">
        <f t="shared" si="29"/>
        <v>2.6306029074557813</v>
      </c>
      <c r="G141" s="493">
        <f t="shared" si="29"/>
        <v>3.3014642422683593</v>
      </c>
      <c r="H141" s="493">
        <f t="shared" si="29"/>
        <v>3.3687944736699782</v>
      </c>
      <c r="I141" s="493">
        <f t="shared" si="29"/>
        <v>5.4929503972244609</v>
      </c>
      <c r="J141" s="493">
        <f t="shared" si="29"/>
        <v>4.9321535828325436</v>
      </c>
      <c r="K141" s="493">
        <f t="shared" si="29"/>
        <v>2.1887884710324768</v>
      </c>
      <c r="L141" s="493">
        <f t="shared" si="29"/>
        <v>6.8758365251912812</v>
      </c>
      <c r="M141" s="493">
        <f t="shared" si="29"/>
        <v>4.7766902291208835</v>
      </c>
      <c r="N141" s="493">
        <f t="shared" si="29"/>
        <v>4.4537092496760966</v>
      </c>
      <c r="O141" s="493">
        <f t="shared" si="29"/>
        <v>5.4363737013988001</v>
      </c>
      <c r="P141" s="493">
        <f t="shared" si="29"/>
        <v>5.3580401321373206</v>
      </c>
      <c r="Q141" s="493">
        <f t="shared" si="29"/>
        <v>3.178707870184061</v>
      </c>
      <c r="R141" s="493">
        <f t="shared" si="29"/>
        <v>0.56392795562778542</v>
      </c>
      <c r="S141" s="493">
        <f t="shared" si="29"/>
        <v>1.7030345980912021</v>
      </c>
      <c r="T141" s="493">
        <f t="shared" si="29"/>
        <v>2.928639672614497</v>
      </c>
      <c r="U141" s="493">
        <f t="shared" si="29"/>
        <v>3.524722653490886</v>
      </c>
      <c r="V141" s="493">
        <f t="shared" si="29"/>
        <v>2.8210232445971428</v>
      </c>
      <c r="W141" s="493">
        <f t="shared" si="29"/>
        <v>3.8521093464032985</v>
      </c>
      <c r="X141" s="493">
        <f t="shared" si="29"/>
        <v>0.88174806077874202</v>
      </c>
      <c r="Y141" s="493">
        <f t="shared" si="29"/>
        <v>-3.8018157169935174</v>
      </c>
      <c r="Z141" s="556">
        <f t="shared" si="29"/>
        <v>-1.8545257235148327</v>
      </c>
      <c r="AA141" s="493">
        <f t="shared" si="29"/>
        <v>7.0002511265903733</v>
      </c>
      <c r="AB141" s="493" t="e">
        <f t="shared" si="29"/>
        <v>#DIV/0!</v>
      </c>
      <c r="AC141" s="493" t="e">
        <f t="shared" si="29"/>
        <v>#DIV/0!</v>
      </c>
      <c r="AD141" s="493" t="e">
        <f t="shared" si="29"/>
        <v>#DIV/0!</v>
      </c>
      <c r="AE141" s="493" t="e">
        <f t="shared" si="29"/>
        <v>#DIV/0!</v>
      </c>
      <c r="AF141" s="493" t="e">
        <f t="shared" si="29"/>
        <v>#DIV/0!</v>
      </c>
      <c r="AG141" s="493" t="e">
        <f t="shared" si="29"/>
        <v>#DIV/0!</v>
      </c>
      <c r="AH141" s="493" t="e">
        <f t="shared" si="29"/>
        <v>#DIV/0!</v>
      </c>
      <c r="AI141" s="493" t="e">
        <f t="shared" si="29"/>
        <v>#DIV/0!</v>
      </c>
      <c r="AJ141" s="493" t="e">
        <f t="shared" si="29"/>
        <v>#DIV/0!</v>
      </c>
      <c r="AK141" s="493" t="e">
        <f t="shared" si="29"/>
        <v>#DIV/0!</v>
      </c>
      <c r="AL141" s="577" t="e">
        <f t="shared" si="29"/>
        <v>#DIV/0!</v>
      </c>
      <c r="AM141" s="491"/>
      <c r="AN141" s="491"/>
      <c r="AO141" s="491"/>
      <c r="AP141" s="491"/>
      <c r="AQ141" s="491"/>
      <c r="AR141" s="491"/>
      <c r="AS141" s="491"/>
      <c r="AT141" s="491"/>
      <c r="AU141" s="491"/>
      <c r="AV141" s="491"/>
      <c r="AW141" s="491"/>
      <c r="AX141" s="491"/>
      <c r="AY141" s="491"/>
      <c r="AZ141" s="2"/>
      <c r="BA141" s="2"/>
      <c r="BB141" s="2"/>
    </row>
    <row r="142" spans="1:54" s="31" customFormat="1">
      <c r="A142" s="576" t="s">
        <v>21</v>
      </c>
      <c r="B142" s="498"/>
      <c r="C142" s="493">
        <f t="shared" ref="C142:AL142" si="30">C141-C112</f>
        <v>3.3095348126235935</v>
      </c>
      <c r="D142" s="493">
        <f t="shared" si="30"/>
        <v>-9.2304826352362923E-2</v>
      </c>
      <c r="E142" s="493">
        <f t="shared" si="30"/>
        <v>0.60558650900364164</v>
      </c>
      <c r="F142" s="493">
        <f t="shared" si="30"/>
        <v>-1.9303724122974097</v>
      </c>
      <c r="G142" s="493">
        <f t="shared" si="30"/>
        <v>-0.95069452783627106</v>
      </c>
      <c r="H142" s="493">
        <f t="shared" si="30"/>
        <v>-1.4245655228700027</v>
      </c>
      <c r="I142" s="493">
        <f t="shared" si="30"/>
        <v>-1.2239183012195509</v>
      </c>
      <c r="J142" s="493">
        <f t="shared" si="30"/>
        <v>-1.8060411080772054</v>
      </c>
      <c r="K142" s="493">
        <f t="shared" si="30"/>
        <v>-1.0946577151329295</v>
      </c>
      <c r="L142" s="493">
        <f t="shared" si="30"/>
        <v>5.7361878797106858</v>
      </c>
      <c r="M142" s="493">
        <f t="shared" si="30"/>
        <v>0.28203125841166354</v>
      </c>
      <c r="N142" s="493">
        <f t="shared" si="30"/>
        <v>-2.4941827320594578</v>
      </c>
      <c r="O142" s="493">
        <f t="shared" si="30"/>
        <v>1.5237379342376567</v>
      </c>
      <c r="P142" s="493">
        <f t="shared" si="30"/>
        <v>0.22404661218060618</v>
      </c>
      <c r="Q142" s="493">
        <f t="shared" si="30"/>
        <v>-1.3203221309256552</v>
      </c>
      <c r="R142" s="493">
        <f t="shared" si="30"/>
        <v>-2.3919734196474529</v>
      </c>
      <c r="S142" s="493">
        <f t="shared" si="30"/>
        <v>-0.38434790353674142</v>
      </c>
      <c r="T142" s="493">
        <f t="shared" si="30"/>
        <v>1.5692788047270367</v>
      </c>
      <c r="U142" s="493">
        <f t="shared" si="30"/>
        <v>0.96039837071384415</v>
      </c>
      <c r="V142" s="493">
        <f t="shared" si="30"/>
        <v>-0.36583214785819163</v>
      </c>
      <c r="W142" s="493">
        <f t="shared" si="30"/>
        <v>11.104408421326482</v>
      </c>
      <c r="X142" s="493">
        <f t="shared" si="30"/>
        <v>-10.134445206199262</v>
      </c>
      <c r="Y142" s="493">
        <f t="shared" si="30"/>
        <v>-11.090699603544918</v>
      </c>
      <c r="Z142" s="556">
        <f t="shared" si="30"/>
        <v>-2.4649522318660244</v>
      </c>
      <c r="AA142" s="493">
        <f t="shared" si="30"/>
        <v>7.0002511265903733</v>
      </c>
      <c r="AB142" s="493" t="e">
        <f t="shared" si="30"/>
        <v>#DIV/0!</v>
      </c>
      <c r="AC142" s="493" t="e">
        <f t="shared" si="30"/>
        <v>#DIV/0!</v>
      </c>
      <c r="AD142" s="493" t="e">
        <f t="shared" si="30"/>
        <v>#DIV/0!</v>
      </c>
      <c r="AE142" s="493" t="e">
        <f t="shared" si="30"/>
        <v>#DIV/0!</v>
      </c>
      <c r="AF142" s="493" t="e">
        <f t="shared" si="30"/>
        <v>#DIV/0!</v>
      </c>
      <c r="AG142" s="493" t="e">
        <f t="shared" si="30"/>
        <v>#DIV/0!</v>
      </c>
      <c r="AH142" s="493" t="e">
        <f t="shared" si="30"/>
        <v>#DIV/0!</v>
      </c>
      <c r="AI142" s="493" t="e">
        <f t="shared" si="30"/>
        <v>#DIV/0!</v>
      </c>
      <c r="AJ142" s="493" t="e">
        <f t="shared" si="30"/>
        <v>#DIV/0!</v>
      </c>
      <c r="AK142" s="493" t="e">
        <f t="shared" si="30"/>
        <v>#DIV/0!</v>
      </c>
      <c r="AL142" s="577" t="e">
        <f t="shared" si="30"/>
        <v>#DIV/0!</v>
      </c>
      <c r="AM142" s="491"/>
      <c r="AN142" s="491"/>
      <c r="AO142" s="491"/>
      <c r="AP142" s="491"/>
      <c r="AQ142" s="491"/>
      <c r="AR142" s="491"/>
      <c r="AS142" s="491"/>
      <c r="AT142" s="491"/>
      <c r="AU142" s="491"/>
      <c r="AV142" s="491"/>
      <c r="AW142" s="491"/>
      <c r="AX142" s="491"/>
      <c r="AY142" s="491"/>
      <c r="AZ142" s="2"/>
      <c r="BA142" s="2"/>
      <c r="BB142" s="2"/>
    </row>
    <row r="143" spans="1:54" s="31" customFormat="1">
      <c r="A143" s="578" t="s">
        <v>321</v>
      </c>
      <c r="B143" s="500"/>
      <c r="C143" s="501">
        <f t="shared" ref="C143:AL143" si="31">(C69/B69-1)*100</f>
        <v>9.2176837086653141</v>
      </c>
      <c r="D143" s="501">
        <f t="shared" si="31"/>
        <v>8.0728596100998686</v>
      </c>
      <c r="E143" s="501">
        <f t="shared" si="31"/>
        <v>19.051471522645947</v>
      </c>
      <c r="F143" s="501">
        <f t="shared" si="31"/>
        <v>-2.405974425181856</v>
      </c>
      <c r="G143" s="501">
        <f t="shared" si="31"/>
        <v>-8.2668587802453573</v>
      </c>
      <c r="H143" s="501">
        <f t="shared" si="31"/>
        <v>-2.4196839541688275</v>
      </c>
      <c r="I143" s="501">
        <f t="shared" si="31"/>
        <v>-5.4975173851685044</v>
      </c>
      <c r="J143" s="501">
        <f t="shared" si="31"/>
        <v>-6.4689998256614256</v>
      </c>
      <c r="K143" s="501">
        <f t="shared" si="31"/>
        <v>-1.3597062869497134</v>
      </c>
      <c r="L143" s="501">
        <f t="shared" si="31"/>
        <v>3.6467529116986697</v>
      </c>
      <c r="M143" s="501">
        <f t="shared" si="31"/>
        <v>1.2205937298747749</v>
      </c>
      <c r="N143" s="501">
        <f t="shared" si="31"/>
        <v>-7.0228142932866833</v>
      </c>
      <c r="O143" s="501">
        <f t="shared" si="31"/>
        <v>-3.566972389195211</v>
      </c>
      <c r="P143" s="501">
        <f t="shared" si="31"/>
        <v>3.0730849238322921</v>
      </c>
      <c r="Q143" s="501">
        <f t="shared" si="31"/>
        <v>7.3749354769016451</v>
      </c>
      <c r="R143" s="501">
        <f t="shared" si="31"/>
        <v>13.793620628681058</v>
      </c>
      <c r="S143" s="501">
        <f t="shared" si="31"/>
        <v>3.3386560025697065</v>
      </c>
      <c r="T143" s="501">
        <f t="shared" si="31"/>
        <v>1.4328920075002749</v>
      </c>
      <c r="U143" s="501">
        <f t="shared" si="31"/>
        <v>5.8425022916313907</v>
      </c>
      <c r="V143" s="501">
        <f t="shared" si="31"/>
        <v>4.4139795459234632</v>
      </c>
      <c r="W143" s="501">
        <f t="shared" si="31"/>
        <v>25.443856219431972</v>
      </c>
      <c r="X143" s="501">
        <f t="shared" si="31"/>
        <v>-1.0647657974063307</v>
      </c>
      <c r="Y143" s="501">
        <f t="shared" si="31"/>
        <v>-3.5161666721470142</v>
      </c>
      <c r="Z143" s="557">
        <f t="shared" si="31"/>
        <v>-2.1132324981142814</v>
      </c>
      <c r="AA143" s="501" t="e">
        <f t="shared" si="31"/>
        <v>#DIV/0!</v>
      </c>
      <c r="AB143" s="501" t="e">
        <f t="shared" si="31"/>
        <v>#DIV/0!</v>
      </c>
      <c r="AC143" s="501" t="e">
        <f t="shared" si="31"/>
        <v>#DIV/0!</v>
      </c>
      <c r="AD143" s="501" t="e">
        <f t="shared" si="31"/>
        <v>#DIV/0!</v>
      </c>
      <c r="AE143" s="501" t="e">
        <f t="shared" si="31"/>
        <v>#DIV/0!</v>
      </c>
      <c r="AF143" s="501" t="e">
        <f t="shared" si="31"/>
        <v>#DIV/0!</v>
      </c>
      <c r="AG143" s="501" t="e">
        <f t="shared" si="31"/>
        <v>#DIV/0!</v>
      </c>
      <c r="AH143" s="501" t="e">
        <f t="shared" si="31"/>
        <v>#DIV/0!</v>
      </c>
      <c r="AI143" s="501" t="e">
        <f t="shared" si="31"/>
        <v>#DIV/0!</v>
      </c>
      <c r="AJ143" s="501" t="e">
        <f t="shared" si="31"/>
        <v>#DIV/0!</v>
      </c>
      <c r="AK143" s="501" t="e">
        <f t="shared" si="31"/>
        <v>#DIV/0!</v>
      </c>
      <c r="AL143" s="579" t="e">
        <f t="shared" si="31"/>
        <v>#DIV/0!</v>
      </c>
      <c r="AM143" s="491"/>
      <c r="AN143" s="491"/>
      <c r="AO143" s="491"/>
      <c r="AP143" s="491"/>
      <c r="AQ143" s="491"/>
      <c r="AR143" s="491"/>
      <c r="AS143" s="491"/>
      <c r="AT143" s="491"/>
      <c r="AU143" s="491"/>
      <c r="AV143" s="491"/>
      <c r="AW143" s="491"/>
      <c r="AX143" s="491"/>
      <c r="AY143" s="491"/>
      <c r="AZ143" s="2"/>
      <c r="BA143" s="2"/>
      <c r="BB143" s="2"/>
    </row>
    <row r="144" spans="1:54" s="31" customFormat="1">
      <c r="A144" s="504"/>
      <c r="B144" s="498"/>
      <c r="C144" s="493"/>
      <c r="D144" s="493"/>
      <c r="E144" s="493"/>
      <c r="F144" s="493"/>
      <c r="G144" s="493"/>
      <c r="H144" s="493"/>
      <c r="I144" s="493"/>
      <c r="J144" s="493"/>
      <c r="K144" s="493"/>
      <c r="L144" s="493"/>
      <c r="M144" s="493"/>
      <c r="N144" s="493"/>
      <c r="O144" s="493"/>
      <c r="P144" s="493"/>
      <c r="Q144" s="493"/>
      <c r="R144" s="493"/>
      <c r="S144" s="493"/>
      <c r="T144" s="493"/>
      <c r="U144" s="493"/>
      <c r="V144" s="493"/>
      <c r="W144" s="493"/>
      <c r="X144" s="493"/>
      <c r="Y144" s="493"/>
      <c r="Z144" s="493"/>
      <c r="AA144" s="493"/>
      <c r="AB144" s="493"/>
      <c r="AC144" s="493"/>
      <c r="AD144" s="493"/>
      <c r="AE144" s="493"/>
      <c r="AF144" s="493"/>
      <c r="AG144" s="493"/>
      <c r="AH144" s="493"/>
      <c r="AI144" s="493"/>
      <c r="AJ144" s="493"/>
      <c r="AK144" s="493"/>
      <c r="AL144" s="493"/>
      <c r="AM144" s="491"/>
      <c r="AN144" s="491"/>
      <c r="AO144" s="491"/>
      <c r="AP144" s="491"/>
      <c r="AQ144" s="491"/>
      <c r="AR144" s="491"/>
      <c r="AS144" s="491"/>
      <c r="AT144" s="491"/>
      <c r="AU144" s="491"/>
      <c r="AV144" s="491"/>
      <c r="AW144" s="491"/>
      <c r="AX144" s="491"/>
      <c r="AY144" s="491"/>
      <c r="AZ144" s="2"/>
      <c r="BA144" s="2"/>
      <c r="BB144" s="2"/>
    </row>
    <row r="145" spans="1:54">
      <c r="A145" s="60" t="s">
        <v>322</v>
      </c>
      <c r="B145" s="490"/>
      <c r="C145" s="505"/>
      <c r="D145" s="505"/>
      <c r="E145" s="506"/>
      <c r="F145" s="506"/>
      <c r="G145" s="506"/>
      <c r="H145" s="506"/>
      <c r="I145" s="506"/>
      <c r="Z145" s="478"/>
      <c r="AA145" s="507"/>
      <c r="AB145" s="507"/>
      <c r="AC145" s="507"/>
      <c r="AD145" s="507"/>
      <c r="AE145" s="507"/>
      <c r="AF145" s="507"/>
      <c r="AG145" s="507"/>
      <c r="AH145" s="507"/>
      <c r="AI145" s="507"/>
      <c r="AJ145" s="507"/>
      <c r="AK145" s="507"/>
      <c r="AL145" s="507"/>
      <c r="AM145" s="378"/>
      <c r="AO145" s="378"/>
      <c r="AP145" s="378"/>
      <c r="AQ145" s="378"/>
      <c r="AR145" s="378"/>
      <c r="AS145" s="378"/>
      <c r="AT145" s="378"/>
      <c r="AU145" s="378"/>
      <c r="AV145" s="378"/>
      <c r="AW145" s="378"/>
      <c r="AX145" s="378"/>
      <c r="AY145" s="378"/>
    </row>
    <row r="146" spans="1:54">
      <c r="A146" s="575" t="s">
        <v>323</v>
      </c>
      <c r="B146" s="572">
        <v>1999</v>
      </c>
      <c r="C146" s="572">
        <v>2000</v>
      </c>
      <c r="D146" s="572">
        <v>2001</v>
      </c>
      <c r="E146" s="572">
        <v>2002</v>
      </c>
      <c r="F146" s="572">
        <v>2003</v>
      </c>
      <c r="G146" s="572">
        <v>2004</v>
      </c>
      <c r="H146" s="572">
        <v>2005</v>
      </c>
      <c r="I146" s="572">
        <v>2006</v>
      </c>
      <c r="J146" s="572">
        <v>2007</v>
      </c>
      <c r="K146" s="572">
        <v>2008</v>
      </c>
      <c r="L146" s="572">
        <v>2009</v>
      </c>
      <c r="M146" s="572">
        <v>2010</v>
      </c>
      <c r="N146" s="572">
        <v>2011</v>
      </c>
      <c r="O146" s="572">
        <v>2012</v>
      </c>
      <c r="P146" s="572">
        <v>2013</v>
      </c>
      <c r="Q146" s="572">
        <v>2014</v>
      </c>
      <c r="R146" s="572">
        <v>2015</v>
      </c>
      <c r="S146" s="572">
        <v>2016</v>
      </c>
      <c r="T146" s="572">
        <v>2017</v>
      </c>
      <c r="U146" s="572">
        <v>2018</v>
      </c>
      <c r="V146" s="572">
        <v>2019</v>
      </c>
      <c r="W146" s="572">
        <v>2020</v>
      </c>
      <c r="X146" s="572">
        <v>2021</v>
      </c>
      <c r="Y146" s="572">
        <v>2022</v>
      </c>
      <c r="Z146" s="573">
        <v>2023</v>
      </c>
      <c r="AA146" s="572">
        <v>2024</v>
      </c>
      <c r="AB146" s="572">
        <v>2025</v>
      </c>
      <c r="AC146" s="572">
        <v>2026</v>
      </c>
      <c r="AD146" s="572">
        <v>2027</v>
      </c>
      <c r="AE146" s="572">
        <v>2028</v>
      </c>
      <c r="AF146" s="572">
        <v>2029</v>
      </c>
      <c r="AG146" s="572">
        <v>2030</v>
      </c>
      <c r="AH146" s="572">
        <v>2031</v>
      </c>
      <c r="AI146" s="572">
        <v>2032</v>
      </c>
      <c r="AJ146" s="572">
        <v>2033</v>
      </c>
      <c r="AK146" s="572">
        <v>2034</v>
      </c>
      <c r="AL146" s="574">
        <v>2035</v>
      </c>
      <c r="AM146" s="378"/>
      <c r="AN146" s="378"/>
      <c r="AO146" s="378"/>
      <c r="AP146" s="378"/>
      <c r="AQ146" s="378"/>
      <c r="AR146" s="378"/>
      <c r="AS146" s="378"/>
      <c r="AT146" s="378"/>
      <c r="AU146" s="378"/>
      <c r="AV146" s="378"/>
      <c r="AW146" s="378"/>
      <c r="AX146" s="378"/>
      <c r="AY146" s="378"/>
    </row>
    <row r="147" spans="1:54">
      <c r="A147" s="508" t="s">
        <v>324</v>
      </c>
      <c r="B147" s="409"/>
      <c r="C147" s="409"/>
      <c r="D147" s="409"/>
      <c r="E147" s="509">
        <v>12.291591551997881</v>
      </c>
      <c r="F147" s="509">
        <v>13.584888961592931</v>
      </c>
      <c r="G147" s="509">
        <v>12.024921522464126</v>
      </c>
      <c r="H147" s="509">
        <v>11.688620594447857</v>
      </c>
      <c r="I147" s="509">
        <v>11.464893810830784</v>
      </c>
      <c r="J147" s="509">
        <v>11.211168519435184</v>
      </c>
      <c r="K147" s="509">
        <v>10.798210772061696</v>
      </c>
      <c r="L147" s="509">
        <v>9.8100682557695293</v>
      </c>
      <c r="M147" s="509">
        <v>8.6058235655693043</v>
      </c>
      <c r="N147" s="509">
        <v>8.8443583594185409</v>
      </c>
      <c r="O147" s="509">
        <v>8.8155810589497001</v>
      </c>
      <c r="P147" s="509">
        <v>8.086803031186939</v>
      </c>
      <c r="Q147" s="509">
        <v>7.9042645983919035</v>
      </c>
      <c r="R147" s="509">
        <v>8.260427633058482</v>
      </c>
      <c r="S147" s="509">
        <v>9.2940439515709947</v>
      </c>
      <c r="T147" s="509">
        <v>8.1506334766633231</v>
      </c>
      <c r="U147" s="509">
        <v>7.662767359881685</v>
      </c>
      <c r="V147" s="509">
        <v>7.6237035019652062</v>
      </c>
      <c r="W147" s="509">
        <v>7.0602430157959626</v>
      </c>
      <c r="X147" s="509">
        <v>7.1469813176470396</v>
      </c>
      <c r="Y147" s="509">
        <f>9.65</f>
        <v>9.65</v>
      </c>
      <c r="Z147" s="510">
        <v>10.417209986845799</v>
      </c>
      <c r="AA147" s="511"/>
      <c r="AB147" s="511"/>
      <c r="AC147" s="511"/>
      <c r="AD147" s="511"/>
      <c r="AE147" s="511"/>
      <c r="AF147" s="511"/>
      <c r="AG147" s="511"/>
      <c r="AH147" s="511"/>
      <c r="AI147" s="511"/>
      <c r="AJ147" s="511"/>
      <c r="AK147" s="511"/>
      <c r="AL147" s="512"/>
      <c r="AM147" s="378"/>
      <c r="AN147" s="378"/>
      <c r="AO147" s="378"/>
      <c r="AP147" s="378"/>
      <c r="AQ147" s="378"/>
      <c r="AR147" s="378"/>
      <c r="AS147" s="378"/>
      <c r="AT147" s="378"/>
      <c r="AU147" s="378"/>
      <c r="AV147" s="378"/>
      <c r="AW147" s="378"/>
      <c r="AX147" s="378"/>
      <c r="AY147" s="378"/>
    </row>
    <row r="148" spans="1:54">
      <c r="A148" s="513" t="s">
        <v>325</v>
      </c>
      <c r="B148" s="389"/>
      <c r="C148" s="389"/>
      <c r="D148" s="389"/>
      <c r="E148" s="514">
        <v>9.8731380705652398</v>
      </c>
      <c r="F148" s="514">
        <v>8.7385716535164413</v>
      </c>
      <c r="G148" s="514">
        <v>8.6506545051626684</v>
      </c>
      <c r="H148" s="514">
        <v>7.9595656500165841</v>
      </c>
      <c r="I148" s="514">
        <v>7.6872266464385479</v>
      </c>
      <c r="J148" s="514">
        <v>7.2439102299643583</v>
      </c>
      <c r="K148" s="514">
        <v>6.6501125899619495</v>
      </c>
      <c r="L148" s="514">
        <v>6.0673414232479743</v>
      </c>
      <c r="M148" s="514">
        <v>5.6956356180200052</v>
      </c>
      <c r="N148" s="514">
        <v>5.3713266451558379</v>
      </c>
      <c r="O148" s="514">
        <v>5.1098026507261149</v>
      </c>
      <c r="P148" s="514">
        <v>5.1980443632671571</v>
      </c>
      <c r="Q148" s="514">
        <v>5.9664970693137223</v>
      </c>
      <c r="R148" s="514">
        <v>5.5472781935372613</v>
      </c>
      <c r="S148" s="514">
        <v>5.1984309261764174</v>
      </c>
      <c r="T148" s="514">
        <v>5.1617233429765106</v>
      </c>
      <c r="U148" s="514">
        <v>5.5149195531755453</v>
      </c>
      <c r="V148" s="514">
        <v>4.955019316880132</v>
      </c>
      <c r="W148" s="514">
        <v>3.9851204772163777</v>
      </c>
      <c r="X148" s="514">
        <v>3.6516969561891202</v>
      </c>
      <c r="Y148" s="514">
        <f>4.23</f>
        <v>4.2300000000000004</v>
      </c>
      <c r="Z148" s="515">
        <v>5.01088869366325</v>
      </c>
      <c r="AA148" s="516"/>
      <c r="AB148" s="516"/>
      <c r="AC148" s="516"/>
      <c r="AD148" s="516"/>
      <c r="AE148" s="516"/>
      <c r="AF148" s="516"/>
      <c r="AG148" s="516"/>
      <c r="AH148" s="516"/>
      <c r="AI148" s="516"/>
      <c r="AJ148" s="516"/>
      <c r="AK148" s="516"/>
      <c r="AL148" s="517"/>
      <c r="AM148" s="378"/>
      <c r="AN148" s="378"/>
      <c r="AO148" s="378"/>
      <c r="AP148" s="378"/>
      <c r="AQ148" s="378"/>
      <c r="AR148" s="378"/>
      <c r="AS148" s="378"/>
      <c r="AT148" s="378"/>
      <c r="AU148" s="378"/>
      <c r="AV148" s="378"/>
      <c r="AW148" s="378"/>
      <c r="AX148" s="378"/>
      <c r="AY148" s="378"/>
    </row>
    <row r="149" spans="1:54">
      <c r="A149" s="294" t="s">
        <v>355</v>
      </c>
      <c r="Q149" s="505"/>
      <c r="R149" s="505"/>
      <c r="S149" s="506"/>
      <c r="T149" s="506"/>
      <c r="X149" s="34"/>
      <c r="Y149" s="34"/>
      <c r="Z149" s="34"/>
      <c r="AA149" s="34"/>
      <c r="AB149" s="34"/>
      <c r="AC149" s="34"/>
      <c r="AD149" s="34"/>
      <c r="AE149" s="34"/>
      <c r="AF149" s="34"/>
      <c r="AG149" s="34"/>
      <c r="AH149" s="34"/>
      <c r="AI149" s="34"/>
      <c r="AJ149" s="34"/>
      <c r="AK149" s="34"/>
      <c r="AL149" s="34"/>
      <c r="AM149" s="378"/>
      <c r="AN149" s="378"/>
      <c r="AO149" s="378"/>
      <c r="AP149" s="378"/>
      <c r="AQ149" s="378"/>
      <c r="AR149" s="378"/>
      <c r="AS149" s="378"/>
      <c r="AT149" s="378"/>
      <c r="AU149" s="378"/>
      <c r="AV149" s="378"/>
      <c r="AW149" s="378"/>
      <c r="AX149" s="378"/>
      <c r="AY149" s="378"/>
    </row>
    <row r="150" spans="1:54" s="31" customForma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4" s="31" customForma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row>
    <row r="152" spans="1:54" s="31" customForma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row>
    <row r="153" spans="1:54" s="31" customForma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row>
    <row r="154" spans="1:54" s="31" customForma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row>
    <row r="169" spans="1:42" ht="16">
      <c r="A169" s="518"/>
      <c r="B169" s="190"/>
      <c r="C169" s="49"/>
      <c r="D169" s="49"/>
      <c r="V169" s="373"/>
      <c r="W169" s="31"/>
      <c r="X169" s="519"/>
      <c r="Y169" s="519"/>
      <c r="Z169" s="31"/>
      <c r="AA169" s="520"/>
      <c r="AB169" s="520"/>
      <c r="AC169" s="520"/>
      <c r="AD169" s="520"/>
      <c r="AE169" s="520"/>
      <c r="AF169" s="520"/>
      <c r="AG169" s="520"/>
      <c r="AH169" s="520"/>
      <c r="AI169" s="520"/>
      <c r="AJ169" s="520"/>
      <c r="AK169" s="520"/>
      <c r="AL169" s="520"/>
      <c r="AM169" s="31"/>
      <c r="AN169" s="31"/>
      <c r="AO169" s="31"/>
      <c r="AP169" s="31"/>
    </row>
    <row r="170" spans="1:42" ht="16">
      <c r="A170" s="518"/>
      <c r="B170" s="190"/>
      <c r="C170" s="49"/>
      <c r="D170" s="49"/>
      <c r="V170" s="373"/>
      <c r="X170" s="521"/>
      <c r="Y170" s="521"/>
      <c r="AA170" s="378"/>
      <c r="AB170" s="378"/>
      <c r="AC170" s="378"/>
      <c r="AD170" s="378"/>
      <c r="AE170" s="378"/>
      <c r="AF170" s="378"/>
      <c r="AG170" s="378"/>
      <c r="AH170" s="378"/>
      <c r="AI170" s="378"/>
      <c r="AJ170" s="378"/>
      <c r="AK170" s="378"/>
      <c r="AL170" s="378"/>
      <c r="AM170" s="55"/>
      <c r="AN170" s="55"/>
      <c r="AO170" s="55"/>
      <c r="AP170" s="55"/>
    </row>
    <row r="171" spans="1:42" ht="16">
      <c r="A171" s="518"/>
      <c r="B171" s="190"/>
      <c r="C171" s="49"/>
      <c r="D171" s="49"/>
      <c r="V171" s="373"/>
      <c r="W171" s="31"/>
      <c r="X171" s="522"/>
      <c r="Y171" s="522"/>
      <c r="Z171" s="31"/>
      <c r="AA171" s="520"/>
      <c r="AB171" s="520"/>
      <c r="AC171" s="520"/>
      <c r="AD171" s="520"/>
      <c r="AE171" s="520"/>
      <c r="AF171" s="520"/>
      <c r="AG171" s="520"/>
      <c r="AH171" s="520"/>
      <c r="AI171" s="520"/>
      <c r="AJ171" s="520"/>
      <c r="AK171" s="520"/>
      <c r="AL171" s="520"/>
      <c r="AM171" s="31"/>
      <c r="AN171" s="31"/>
      <c r="AO171" s="31"/>
      <c r="AP171" s="31"/>
    </row>
    <row r="172" spans="1:42" ht="16">
      <c r="A172" s="518"/>
      <c r="B172" s="190"/>
      <c r="C172" s="49"/>
      <c r="D172" s="49"/>
      <c r="V172" s="373"/>
      <c r="W172" s="31"/>
      <c r="X172" s="519"/>
      <c r="Y172" s="519"/>
      <c r="Z172" s="31"/>
      <c r="AA172" s="520"/>
      <c r="AB172" s="520"/>
      <c r="AC172" s="520"/>
      <c r="AD172" s="520"/>
      <c r="AE172" s="520"/>
      <c r="AF172" s="520"/>
      <c r="AG172" s="520"/>
      <c r="AH172" s="520"/>
      <c r="AI172" s="520"/>
      <c r="AJ172" s="520"/>
      <c r="AK172" s="520"/>
      <c r="AL172" s="520"/>
      <c r="AM172" s="31"/>
      <c r="AN172" s="31"/>
      <c r="AO172" s="31"/>
      <c r="AP172" s="31"/>
    </row>
    <row r="173" spans="1:42" ht="16">
      <c r="A173" s="518"/>
      <c r="B173" s="190"/>
      <c r="C173" s="49"/>
      <c r="D173" s="49"/>
      <c r="V173" s="373"/>
      <c r="W173" s="31"/>
      <c r="X173" s="519"/>
      <c r="Y173" s="519"/>
      <c r="Z173" s="31"/>
      <c r="AA173" s="520"/>
      <c r="AB173" s="520"/>
      <c r="AC173" s="520"/>
      <c r="AD173" s="520"/>
      <c r="AE173" s="520"/>
      <c r="AF173" s="520"/>
      <c r="AG173" s="520"/>
      <c r="AH173" s="520"/>
      <c r="AI173" s="520"/>
      <c r="AJ173" s="520"/>
      <c r="AK173" s="520"/>
      <c r="AL173" s="520"/>
      <c r="AM173" s="31"/>
      <c r="AN173" s="31"/>
      <c r="AO173" s="31"/>
      <c r="AP173" s="31"/>
    </row>
    <row r="174" spans="1:42" ht="16">
      <c r="A174" s="518"/>
      <c r="B174" s="190"/>
      <c r="C174" s="49"/>
      <c r="D174" s="49"/>
      <c r="V174" s="373"/>
      <c r="X174" s="521"/>
      <c r="Y174" s="521"/>
      <c r="AA174" s="378"/>
      <c r="AB174" s="378"/>
      <c r="AC174" s="378"/>
      <c r="AD174" s="378"/>
      <c r="AE174" s="378"/>
      <c r="AF174" s="378"/>
      <c r="AG174" s="378"/>
      <c r="AH174" s="378"/>
      <c r="AI174" s="378"/>
      <c r="AJ174" s="378"/>
      <c r="AK174" s="378"/>
      <c r="AL174" s="378"/>
      <c r="AM174" s="55"/>
      <c r="AN174" s="55"/>
      <c r="AO174" s="55"/>
      <c r="AP174" s="55"/>
    </row>
    <row r="175" spans="1:42" ht="16">
      <c r="A175" s="518"/>
      <c r="B175" s="190"/>
      <c r="C175" s="49"/>
      <c r="D175" s="49"/>
      <c r="V175" s="373"/>
      <c r="W175" s="31"/>
      <c r="X175" s="522"/>
      <c r="Y175" s="522"/>
      <c r="Z175" s="31"/>
      <c r="AA175" s="520"/>
      <c r="AB175" s="520"/>
      <c r="AC175" s="520"/>
      <c r="AD175" s="520"/>
      <c r="AE175" s="520"/>
      <c r="AF175" s="520"/>
      <c r="AG175" s="520"/>
      <c r="AH175" s="520"/>
      <c r="AI175" s="520"/>
      <c r="AJ175" s="520"/>
      <c r="AK175" s="520"/>
      <c r="AL175" s="520"/>
      <c r="AM175" s="31"/>
      <c r="AN175" s="31"/>
      <c r="AO175" s="31"/>
      <c r="AP175" s="31"/>
    </row>
    <row r="176" spans="1:42" ht="16">
      <c r="A176" s="518"/>
      <c r="B176" s="190"/>
      <c r="C176" s="49"/>
      <c r="D176" s="49"/>
      <c r="V176" s="373"/>
      <c r="W176" s="31"/>
      <c r="X176" s="519"/>
      <c r="Y176" s="519"/>
      <c r="Z176" s="31"/>
      <c r="AA176" s="520"/>
      <c r="AB176" s="520"/>
      <c r="AC176" s="520"/>
      <c r="AD176" s="520"/>
      <c r="AE176" s="520"/>
      <c r="AF176" s="520"/>
      <c r="AG176" s="520"/>
      <c r="AH176" s="520"/>
      <c r="AI176" s="520"/>
      <c r="AJ176" s="520"/>
      <c r="AK176" s="520"/>
      <c r="AL176" s="520"/>
      <c r="AM176" s="31"/>
      <c r="AN176" s="31"/>
      <c r="AO176" s="31"/>
      <c r="AP176" s="31"/>
    </row>
    <row r="177" spans="22:43">
      <c r="V177" s="373"/>
      <c r="W177" s="31"/>
      <c r="X177" s="519"/>
      <c r="Y177" s="519"/>
      <c r="Z177" s="31"/>
      <c r="AA177" s="520"/>
      <c r="AB177" s="520"/>
      <c r="AC177" s="520"/>
      <c r="AD177" s="520"/>
      <c r="AE177" s="520"/>
      <c r="AF177" s="520"/>
      <c r="AG177" s="520"/>
      <c r="AH177" s="520"/>
      <c r="AI177" s="520"/>
      <c r="AJ177" s="520"/>
      <c r="AK177" s="520"/>
      <c r="AL177" s="520"/>
      <c r="AM177" s="31"/>
      <c r="AN177" s="31"/>
      <c r="AO177" s="31"/>
      <c r="AP177" s="31"/>
      <c r="AQ177" s="55"/>
    </row>
    <row r="178" spans="22:43">
      <c r="V178" s="373"/>
      <c r="W178" s="31"/>
      <c r="X178" s="519"/>
      <c r="Y178" s="519"/>
      <c r="Z178" s="31"/>
      <c r="AA178" s="520"/>
      <c r="AB178" s="520"/>
      <c r="AC178" s="520"/>
      <c r="AD178" s="520"/>
      <c r="AE178" s="520"/>
      <c r="AF178" s="520"/>
      <c r="AG178" s="520"/>
      <c r="AH178" s="520"/>
      <c r="AI178" s="520"/>
      <c r="AJ178" s="520"/>
      <c r="AK178" s="520"/>
      <c r="AL178" s="520"/>
      <c r="AM178" s="31"/>
      <c r="AN178" s="31"/>
      <c r="AO178" s="31"/>
      <c r="AP178" s="31"/>
      <c r="AQ178" s="55"/>
    </row>
    <row r="179" spans="22:43">
      <c r="V179" s="373"/>
      <c r="X179" s="521"/>
      <c r="Y179" s="521"/>
      <c r="AA179" s="378"/>
      <c r="AB179" s="378"/>
      <c r="AC179" s="378"/>
      <c r="AD179" s="378"/>
      <c r="AE179" s="378"/>
      <c r="AF179" s="378"/>
      <c r="AG179" s="378"/>
      <c r="AH179" s="378"/>
      <c r="AI179" s="378"/>
      <c r="AJ179" s="378"/>
      <c r="AK179" s="378"/>
      <c r="AL179" s="378"/>
      <c r="AM179" s="55"/>
      <c r="AN179" s="55"/>
      <c r="AO179" s="55"/>
      <c r="AP179" s="55"/>
      <c r="AQ179" s="55"/>
    </row>
    <row r="180" spans="22:43">
      <c r="V180" s="373"/>
      <c r="W180" s="31"/>
      <c r="X180" s="522"/>
      <c r="Y180" s="522"/>
      <c r="Z180" s="31"/>
      <c r="AA180" s="520"/>
      <c r="AB180" s="520"/>
      <c r="AC180" s="520"/>
      <c r="AD180" s="520"/>
      <c r="AE180" s="520"/>
      <c r="AF180" s="520"/>
      <c r="AG180" s="520"/>
      <c r="AH180" s="520"/>
      <c r="AI180" s="520"/>
      <c r="AJ180" s="520"/>
      <c r="AK180" s="520"/>
      <c r="AL180" s="520"/>
      <c r="AM180" s="31"/>
      <c r="AN180" s="31"/>
      <c r="AO180" s="31"/>
      <c r="AP180" s="31"/>
      <c r="AQ180" s="55"/>
    </row>
    <row r="181" spans="22:43">
      <c r="V181" s="373"/>
      <c r="W181" s="31"/>
      <c r="X181" s="519"/>
      <c r="Y181" s="519"/>
      <c r="Z181" s="31"/>
      <c r="AA181" s="520"/>
      <c r="AB181" s="520"/>
      <c r="AC181" s="520"/>
      <c r="AD181" s="520"/>
      <c r="AE181" s="520"/>
      <c r="AF181" s="520"/>
      <c r="AG181" s="520"/>
      <c r="AH181" s="520"/>
      <c r="AI181" s="520"/>
      <c r="AJ181" s="520"/>
      <c r="AK181" s="520"/>
      <c r="AL181" s="520"/>
      <c r="AM181" s="31"/>
      <c r="AN181" s="31"/>
      <c r="AO181" s="31"/>
      <c r="AP181" s="31"/>
      <c r="AQ181" s="55"/>
    </row>
    <row r="182" spans="22:43">
      <c r="V182" s="373"/>
      <c r="W182" s="31"/>
      <c r="X182" s="519"/>
      <c r="Y182" s="519"/>
      <c r="Z182" s="31"/>
      <c r="AA182" s="520"/>
      <c r="AB182" s="520"/>
      <c r="AC182" s="520"/>
      <c r="AD182" s="520"/>
      <c r="AE182" s="520"/>
      <c r="AF182" s="520"/>
      <c r="AG182" s="520"/>
      <c r="AH182" s="520"/>
      <c r="AI182" s="520"/>
      <c r="AJ182" s="520"/>
      <c r="AK182" s="520"/>
      <c r="AL182" s="520"/>
      <c r="AM182" s="31"/>
      <c r="AN182" s="31"/>
      <c r="AO182" s="31"/>
      <c r="AP182" s="31"/>
      <c r="AQ182" s="55"/>
    </row>
    <row r="183" spans="22:43">
      <c r="V183" s="373"/>
      <c r="X183" s="521"/>
      <c r="Y183" s="521"/>
      <c r="AA183" s="378"/>
      <c r="AB183" s="378"/>
      <c r="AC183" s="378"/>
      <c r="AD183" s="378"/>
      <c r="AE183" s="378"/>
      <c r="AF183" s="378"/>
      <c r="AG183" s="378"/>
      <c r="AH183" s="378"/>
      <c r="AI183" s="378"/>
      <c r="AJ183" s="378"/>
      <c r="AK183" s="378"/>
      <c r="AL183" s="378"/>
      <c r="AM183" s="55"/>
      <c r="AN183" s="55"/>
      <c r="AO183" s="55"/>
      <c r="AP183" s="55"/>
      <c r="AQ183" s="55"/>
    </row>
    <row r="184" spans="22:43">
      <c r="V184" s="373"/>
      <c r="W184" s="31"/>
      <c r="X184" s="522"/>
      <c r="Y184" s="522"/>
      <c r="Z184" s="31"/>
      <c r="AA184" s="520"/>
      <c r="AB184" s="520"/>
      <c r="AC184" s="520"/>
      <c r="AD184" s="520"/>
      <c r="AE184" s="520"/>
      <c r="AF184" s="520"/>
      <c r="AG184" s="520"/>
      <c r="AH184" s="520"/>
      <c r="AI184" s="520"/>
      <c r="AJ184" s="520"/>
      <c r="AK184" s="520"/>
      <c r="AL184" s="520"/>
      <c r="AM184" s="31"/>
      <c r="AN184" s="31"/>
      <c r="AO184" s="31"/>
      <c r="AP184" s="31"/>
      <c r="AQ184" s="55"/>
    </row>
    <row r="185" spans="22:43">
      <c r="V185" s="373"/>
      <c r="W185" s="31"/>
      <c r="X185" s="519"/>
      <c r="Y185" s="519"/>
      <c r="Z185" s="31"/>
      <c r="AA185" s="520"/>
      <c r="AB185" s="520"/>
      <c r="AC185" s="520"/>
      <c r="AD185" s="520"/>
      <c r="AE185" s="520"/>
      <c r="AF185" s="520"/>
      <c r="AG185" s="520"/>
      <c r="AH185" s="520"/>
      <c r="AI185" s="520"/>
      <c r="AJ185" s="520"/>
      <c r="AK185" s="520"/>
      <c r="AL185" s="520"/>
      <c r="AM185" s="31"/>
      <c r="AN185" s="31"/>
      <c r="AO185" s="31"/>
      <c r="AP185" s="31"/>
      <c r="AQ185" s="55"/>
    </row>
    <row r="186" spans="22:43">
      <c r="V186" s="373"/>
      <c r="W186" s="31"/>
      <c r="X186" s="519"/>
      <c r="Y186" s="519"/>
      <c r="Z186" s="31"/>
      <c r="AA186" s="520"/>
      <c r="AB186" s="520"/>
      <c r="AC186" s="520"/>
      <c r="AD186" s="520"/>
      <c r="AE186" s="520"/>
      <c r="AF186" s="520"/>
      <c r="AG186" s="520"/>
      <c r="AH186" s="520"/>
      <c r="AI186" s="520"/>
      <c r="AJ186" s="520"/>
      <c r="AK186" s="520"/>
      <c r="AL186" s="520"/>
      <c r="AM186" s="31"/>
      <c r="AN186" s="31"/>
      <c r="AO186" s="31"/>
      <c r="AP186" s="31"/>
      <c r="AQ186" s="55"/>
    </row>
    <row r="187" spans="22:43">
      <c r="V187" s="373"/>
      <c r="X187" s="521"/>
      <c r="Y187" s="521"/>
      <c r="AA187" s="378"/>
      <c r="AB187" s="378"/>
      <c r="AC187" s="378"/>
      <c r="AD187" s="378"/>
      <c r="AE187" s="378"/>
      <c r="AF187" s="378"/>
      <c r="AG187" s="378"/>
      <c r="AH187" s="378"/>
      <c r="AI187" s="378"/>
      <c r="AJ187" s="378"/>
      <c r="AK187" s="378"/>
      <c r="AL187" s="378"/>
      <c r="AM187" s="55"/>
      <c r="AN187" s="55"/>
      <c r="AO187" s="55"/>
      <c r="AP187" s="55"/>
      <c r="AQ187" s="55"/>
    </row>
    <row r="188" spans="22:43">
      <c r="V188" s="373"/>
      <c r="W188" s="31"/>
      <c r="X188" s="522"/>
      <c r="Y188" s="522"/>
      <c r="Z188" s="31"/>
      <c r="AA188" s="520"/>
      <c r="AB188" s="520"/>
      <c r="AC188" s="520"/>
      <c r="AD188" s="520"/>
      <c r="AE188" s="520"/>
      <c r="AF188" s="520"/>
      <c r="AG188" s="520"/>
      <c r="AH188" s="520"/>
      <c r="AI188" s="520"/>
      <c r="AJ188" s="520"/>
      <c r="AK188" s="520"/>
      <c r="AL188" s="520"/>
      <c r="AM188" s="31"/>
      <c r="AN188" s="31"/>
      <c r="AO188" s="31"/>
      <c r="AP188" s="31"/>
      <c r="AQ188" s="55"/>
    </row>
    <row r="189" spans="22:43">
      <c r="V189" s="373"/>
      <c r="W189" s="31"/>
      <c r="X189" s="519"/>
      <c r="Y189" s="519"/>
      <c r="Z189" s="31"/>
      <c r="AA189" s="520"/>
      <c r="AB189" s="520"/>
      <c r="AC189" s="520"/>
      <c r="AD189" s="520"/>
      <c r="AE189" s="520"/>
      <c r="AF189" s="520"/>
      <c r="AG189" s="520"/>
      <c r="AH189" s="520"/>
      <c r="AI189" s="520"/>
      <c r="AJ189" s="520"/>
      <c r="AK189" s="520"/>
      <c r="AL189" s="520"/>
      <c r="AM189" s="31"/>
      <c r="AN189" s="31"/>
      <c r="AO189" s="31"/>
      <c r="AP189" s="31"/>
    </row>
    <row r="190" spans="22:43">
      <c r="V190" s="373"/>
      <c r="W190" s="31"/>
      <c r="X190" s="519"/>
      <c r="Y190" s="31"/>
      <c r="Z190" s="520"/>
      <c r="AA190" s="520"/>
      <c r="AB190" s="520"/>
      <c r="AC190" s="520"/>
      <c r="AD190" s="520"/>
      <c r="AE190" s="520"/>
      <c r="AF190" s="520"/>
      <c r="AG190" s="520"/>
      <c r="AH190" s="520"/>
      <c r="AI190" s="520"/>
      <c r="AJ190" s="520"/>
      <c r="AK190" s="520"/>
      <c r="AL190" s="520"/>
      <c r="AM190" s="31"/>
      <c r="AN190" s="31"/>
      <c r="AO190" s="31"/>
      <c r="AP190" s="31"/>
    </row>
    <row r="191" spans="22:43">
      <c r="V191" s="373"/>
      <c r="X191" s="521"/>
      <c r="Z191" s="378"/>
      <c r="AA191" s="378"/>
      <c r="AB191" s="378"/>
      <c r="AC191" s="378"/>
      <c r="AD191" s="378"/>
      <c r="AE191" s="378"/>
      <c r="AF191" s="378"/>
      <c r="AG191" s="378"/>
      <c r="AH191" s="378"/>
      <c r="AI191" s="378"/>
      <c r="AJ191" s="378"/>
      <c r="AK191" s="378"/>
      <c r="AL191" s="378"/>
      <c r="AM191" s="55"/>
      <c r="AN191" s="55"/>
      <c r="AO191" s="55"/>
      <c r="AP191" s="55"/>
    </row>
    <row r="192" spans="22:43">
      <c r="V192" s="373"/>
      <c r="W192" s="31"/>
      <c r="X192" s="522"/>
      <c r="Y192" s="31"/>
      <c r="Z192" s="520"/>
      <c r="AA192" s="520"/>
      <c r="AB192" s="520"/>
      <c r="AC192" s="520"/>
      <c r="AD192" s="520"/>
      <c r="AE192" s="520"/>
      <c r="AF192" s="520"/>
      <c r="AG192" s="520"/>
      <c r="AH192" s="520"/>
      <c r="AI192" s="520"/>
      <c r="AJ192" s="520"/>
      <c r="AK192" s="520"/>
      <c r="AL192" s="520"/>
      <c r="AM192" s="31"/>
      <c r="AN192" s="31"/>
      <c r="AO192" s="31"/>
      <c r="AP192" s="31"/>
    </row>
    <row r="193" spans="22:42">
      <c r="V193" s="373"/>
      <c r="W193" s="31"/>
      <c r="X193" s="519"/>
      <c r="Y193" s="31"/>
      <c r="Z193" s="520"/>
      <c r="AA193" s="520"/>
      <c r="AB193" s="520"/>
      <c r="AC193" s="520"/>
      <c r="AD193" s="520"/>
      <c r="AE193" s="520"/>
      <c r="AF193" s="520"/>
      <c r="AG193" s="520"/>
      <c r="AH193" s="520"/>
      <c r="AI193" s="520"/>
      <c r="AJ193" s="520"/>
      <c r="AK193" s="520"/>
      <c r="AL193" s="520"/>
      <c r="AM193" s="31"/>
      <c r="AN193" s="31"/>
      <c r="AO193" s="31"/>
      <c r="AP193" s="31"/>
    </row>
    <row r="194" spans="22:42">
      <c r="V194" s="373"/>
      <c r="W194" s="31"/>
      <c r="X194" s="519"/>
      <c r="Y194" s="31"/>
      <c r="Z194" s="520"/>
      <c r="AA194" s="520"/>
      <c r="AB194" s="520"/>
      <c r="AC194" s="520"/>
      <c r="AD194" s="520"/>
      <c r="AE194" s="520"/>
      <c r="AF194" s="520"/>
      <c r="AG194" s="520"/>
      <c r="AH194" s="520"/>
      <c r="AI194" s="520"/>
      <c r="AJ194" s="520"/>
      <c r="AK194" s="520"/>
      <c r="AL194" s="520"/>
      <c r="AM194" s="31"/>
      <c r="AN194" s="31"/>
      <c r="AO194" s="31"/>
      <c r="AP194" s="31"/>
    </row>
    <row r="195" spans="22:42">
      <c r="V195" s="373"/>
      <c r="X195" s="521"/>
      <c r="Z195" s="378"/>
      <c r="AA195" s="378"/>
      <c r="AB195" s="378"/>
      <c r="AC195" s="378"/>
      <c r="AD195" s="378"/>
      <c r="AE195" s="378"/>
      <c r="AF195" s="378"/>
      <c r="AG195" s="378"/>
      <c r="AH195" s="378"/>
      <c r="AI195" s="378"/>
      <c r="AJ195" s="378"/>
      <c r="AK195" s="378"/>
      <c r="AL195" s="378"/>
      <c r="AM195" s="55"/>
      <c r="AN195" s="55"/>
      <c r="AO195" s="55"/>
      <c r="AP195" s="55"/>
    </row>
    <row r="196" spans="22:42">
      <c r="V196" s="373"/>
      <c r="W196" s="31"/>
      <c r="X196" s="522"/>
      <c r="Y196" s="31"/>
      <c r="Z196" s="520"/>
      <c r="AA196" s="520"/>
      <c r="AB196" s="520"/>
      <c r="AC196" s="520"/>
      <c r="AD196" s="520"/>
      <c r="AE196" s="520"/>
      <c r="AF196" s="520"/>
      <c r="AG196" s="520"/>
      <c r="AH196" s="520"/>
      <c r="AI196" s="520"/>
      <c r="AJ196" s="520"/>
      <c r="AK196" s="520"/>
      <c r="AL196" s="520"/>
      <c r="AM196" s="31"/>
      <c r="AN196" s="31"/>
      <c r="AO196" s="31"/>
      <c r="AP196" s="31"/>
    </row>
    <row r="197" spans="22:42">
      <c r="V197" s="373"/>
      <c r="W197" s="31"/>
      <c r="X197" s="519"/>
      <c r="Y197" s="31"/>
      <c r="Z197" s="520"/>
      <c r="AA197" s="520"/>
      <c r="AB197" s="520"/>
      <c r="AC197" s="520"/>
      <c r="AD197" s="520"/>
      <c r="AE197" s="520"/>
      <c r="AF197" s="520"/>
      <c r="AG197" s="520"/>
      <c r="AH197" s="520"/>
      <c r="AI197" s="520"/>
      <c r="AJ197" s="520"/>
      <c r="AK197" s="520"/>
      <c r="AL197" s="520"/>
      <c r="AM197" s="31"/>
      <c r="AN197" s="31"/>
      <c r="AO197" s="31"/>
      <c r="AP197" s="31"/>
    </row>
    <row r="198" spans="22:42">
      <c r="V198" s="373"/>
      <c r="W198" s="31"/>
      <c r="X198" s="519"/>
      <c r="Y198" s="31"/>
      <c r="Z198" s="520"/>
      <c r="AA198" s="520"/>
      <c r="AB198" s="520"/>
      <c r="AC198" s="520"/>
      <c r="AD198" s="520"/>
      <c r="AE198" s="520"/>
      <c r="AF198" s="520"/>
      <c r="AG198" s="520"/>
      <c r="AH198" s="520"/>
      <c r="AI198" s="520"/>
      <c r="AJ198" s="520"/>
      <c r="AK198" s="520"/>
      <c r="AL198" s="520"/>
      <c r="AM198" s="31"/>
      <c r="AN198" s="31"/>
      <c r="AO198" s="31"/>
      <c r="AP198" s="31"/>
    </row>
    <row r="199" spans="22:42">
      <c r="Y199" s="55"/>
      <c r="Z199" s="55"/>
      <c r="AA199" s="55"/>
      <c r="AB199" s="55"/>
      <c r="AC199" s="55"/>
      <c r="AD199" s="55"/>
      <c r="AE199" s="55"/>
      <c r="AF199" s="55"/>
      <c r="AG199" s="55"/>
      <c r="AH199" s="55"/>
      <c r="AI199" s="55"/>
      <c r="AJ199" s="55"/>
      <c r="AK199" s="55"/>
      <c r="AL199" s="55"/>
    </row>
    <row r="200" spans="22:42">
      <c r="Y200" s="55"/>
      <c r="Z200" s="55"/>
      <c r="AA200" s="55"/>
      <c r="AB200" s="55"/>
      <c r="AC200" s="55"/>
      <c r="AD200" s="55"/>
      <c r="AE200" s="55"/>
      <c r="AF200" s="55"/>
      <c r="AG200" s="55"/>
      <c r="AH200" s="55"/>
      <c r="AI200" s="55"/>
      <c r="AJ200" s="55"/>
      <c r="AK200" s="55"/>
      <c r="AL200" s="55"/>
    </row>
    <row r="201" spans="22:42">
      <c r="Y201" s="55"/>
      <c r="Z201" s="55"/>
      <c r="AA201" s="55"/>
      <c r="AB201" s="55"/>
      <c r="AC201" s="55"/>
      <c r="AD201" s="55"/>
      <c r="AE201" s="55"/>
      <c r="AF201" s="55"/>
      <c r="AG201" s="55"/>
      <c r="AH201" s="55"/>
      <c r="AI201" s="55"/>
      <c r="AJ201" s="55"/>
      <c r="AK201" s="55"/>
      <c r="AL201" s="55"/>
    </row>
    <row r="202" spans="22:42">
      <c r="Y202" s="55"/>
      <c r="Z202" s="55"/>
      <c r="AA202" s="55"/>
      <c r="AB202" s="55"/>
      <c r="AC202" s="55"/>
      <c r="AD202" s="55"/>
      <c r="AE202" s="55"/>
      <c r="AF202" s="55"/>
      <c r="AG202" s="55"/>
      <c r="AH202" s="55"/>
      <c r="AI202" s="55"/>
      <c r="AJ202" s="55"/>
      <c r="AK202" s="55"/>
      <c r="AL202" s="55"/>
    </row>
    <row r="203" spans="22:42">
      <c r="Y203" s="55"/>
      <c r="Z203" s="55"/>
      <c r="AA203" s="55"/>
      <c r="AB203" s="55"/>
      <c r="AC203" s="55"/>
      <c r="AD203" s="55"/>
      <c r="AE203" s="55"/>
      <c r="AF203" s="55"/>
      <c r="AG203" s="55"/>
      <c r="AH203" s="55"/>
      <c r="AI203" s="55"/>
      <c r="AJ203" s="55"/>
      <c r="AK203" s="55"/>
      <c r="AL203" s="55"/>
    </row>
    <row r="204" spans="22:42">
      <c r="Y204" s="55"/>
      <c r="Z204" s="55"/>
      <c r="AA204" s="55"/>
      <c r="AB204" s="55"/>
      <c r="AC204" s="55"/>
      <c r="AD204" s="55"/>
      <c r="AE204" s="55"/>
      <c r="AF204" s="55"/>
      <c r="AG204" s="55"/>
      <c r="AH204" s="55"/>
      <c r="AI204" s="55"/>
      <c r="AJ204" s="55"/>
      <c r="AK204" s="55"/>
      <c r="AL204" s="55"/>
    </row>
    <row r="205" spans="22:42">
      <c r="Y205" s="55"/>
      <c r="Z205" s="55"/>
      <c r="AA205" s="55"/>
      <c r="AB205" s="55"/>
      <c r="AC205" s="55"/>
      <c r="AD205" s="55"/>
      <c r="AE205" s="55"/>
      <c r="AF205" s="55"/>
      <c r="AG205" s="55"/>
      <c r="AH205" s="55"/>
      <c r="AI205" s="55"/>
      <c r="AJ205" s="55"/>
      <c r="AK205" s="55"/>
      <c r="AL205" s="55"/>
    </row>
    <row r="206" spans="22:42">
      <c r="Y206" s="55"/>
      <c r="Z206" s="55"/>
      <c r="AA206" s="55"/>
      <c r="AB206" s="55"/>
      <c r="AC206" s="55"/>
      <c r="AD206" s="55"/>
      <c r="AE206" s="55"/>
      <c r="AF206" s="55"/>
      <c r="AG206" s="55"/>
      <c r="AH206" s="55"/>
      <c r="AI206" s="55"/>
      <c r="AJ206" s="55"/>
      <c r="AK206" s="55"/>
      <c r="AL206" s="55"/>
    </row>
    <row r="207" spans="22:42">
      <c r="Y207" s="55"/>
      <c r="Z207" s="55"/>
      <c r="AA207" s="55"/>
      <c r="AB207" s="55"/>
      <c r="AC207" s="55"/>
      <c r="AD207" s="55"/>
      <c r="AE207" s="55"/>
      <c r="AF207" s="55"/>
      <c r="AG207" s="55"/>
      <c r="AH207" s="55"/>
      <c r="AI207" s="55"/>
      <c r="AJ207" s="55"/>
      <c r="AK207" s="55"/>
      <c r="AL207" s="55"/>
    </row>
    <row r="208" spans="22:42">
      <c r="Y208" s="55"/>
      <c r="Z208" s="55"/>
      <c r="AA208" s="55"/>
      <c r="AB208" s="55"/>
      <c r="AC208" s="55"/>
      <c r="AD208" s="55"/>
      <c r="AE208" s="55"/>
      <c r="AF208" s="55"/>
      <c r="AG208" s="55"/>
      <c r="AH208" s="55"/>
      <c r="AI208" s="55"/>
      <c r="AJ208" s="55"/>
      <c r="AK208" s="55"/>
      <c r="AL208" s="55"/>
    </row>
    <row r="209" spans="25:25">
      <c r="Y209" s="55"/>
    </row>
    <row r="210" spans="25:25">
      <c r="Y210" s="55"/>
    </row>
    <row r="211" spans="25:25">
      <c r="Y211" s="55"/>
    </row>
    <row r="212" spans="25:25">
      <c r="Y212" s="55"/>
    </row>
    <row r="213" spans="25:25">
      <c r="Y213" s="55"/>
    </row>
    <row r="214" spans="25:25">
      <c r="Y214" s="55"/>
    </row>
  </sheetData>
  <mergeCells count="3">
    <mergeCell ref="A101:Z101"/>
    <mergeCell ref="A105:Z105"/>
    <mergeCell ref="A106:Z10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489FC-4554-5241-BD3A-4A3B3D1E856B}">
  <sheetPr>
    <tabColor theme="9"/>
  </sheetPr>
  <dimension ref="A1:AW49"/>
  <sheetViews>
    <sheetView zoomScale="125" zoomScaleNormal="85" workbookViewId="0">
      <selection activeCell="AA9" sqref="AA9"/>
    </sheetView>
  </sheetViews>
  <sheetFormatPr baseColWidth="10" defaultColWidth="10.83203125" defaultRowHeight="15"/>
  <cols>
    <col min="1" max="1" width="30.5" style="2" customWidth="1"/>
    <col min="2" max="4" width="7.6640625" style="2" customWidth="1"/>
    <col min="5" max="6" width="8.6640625" style="2" customWidth="1"/>
    <col min="7" max="7" width="7.6640625" style="2" customWidth="1"/>
    <col min="8" max="8" width="8.33203125" style="2" customWidth="1"/>
    <col min="9" max="9" width="7.6640625" style="2" customWidth="1"/>
    <col min="10" max="10" width="7.6640625" style="49" customWidth="1"/>
    <col min="11" max="37" width="6.33203125" style="2" customWidth="1"/>
    <col min="38" max="38" width="7.6640625" style="2" customWidth="1"/>
    <col min="39" max="16384" width="10.83203125" style="2"/>
  </cols>
  <sheetData>
    <row r="1" spans="1:49" ht="21">
      <c r="A1" s="1" t="s">
        <v>361</v>
      </c>
      <c r="J1" s="2"/>
    </row>
    <row r="3" spans="1:49">
      <c r="A3" s="107" t="s">
        <v>326</v>
      </c>
      <c r="B3" s="107"/>
      <c r="C3" s="107"/>
      <c r="D3" s="107"/>
      <c r="E3" s="107"/>
      <c r="F3" s="107"/>
      <c r="G3" s="107"/>
      <c r="H3" s="107"/>
      <c r="I3" s="107"/>
      <c r="J3" s="107"/>
      <c r="K3" s="107"/>
      <c r="L3" s="107"/>
      <c r="M3" s="107"/>
      <c r="N3" s="107"/>
      <c r="O3" s="107"/>
      <c r="P3" s="107"/>
      <c r="Q3" s="107"/>
    </row>
    <row r="4" spans="1:49">
      <c r="AA4" s="812" t="s">
        <v>327</v>
      </c>
      <c r="AB4" s="812"/>
      <c r="AC4" s="812"/>
      <c r="AD4" s="812"/>
      <c r="AE4" s="812"/>
      <c r="AF4" s="812"/>
      <c r="AG4" s="812"/>
      <c r="AH4" s="812"/>
      <c r="AI4" s="812"/>
      <c r="AJ4" s="812"/>
      <c r="AK4" s="812"/>
      <c r="AL4" s="812"/>
    </row>
    <row r="5" spans="1:49">
      <c r="A5" s="374" t="s">
        <v>20</v>
      </c>
      <c r="B5" s="523">
        <v>1999</v>
      </c>
      <c r="C5" s="523">
        <v>2000</v>
      </c>
      <c r="D5" s="523">
        <v>2001</v>
      </c>
      <c r="E5" s="523">
        <v>2002</v>
      </c>
      <c r="F5" s="523">
        <v>2003</v>
      </c>
      <c r="G5" s="523">
        <v>2004</v>
      </c>
      <c r="H5" s="523">
        <v>2005</v>
      </c>
      <c r="I5" s="523">
        <v>2006</v>
      </c>
      <c r="J5" s="523">
        <v>2007</v>
      </c>
      <c r="K5" s="523">
        <v>2008</v>
      </c>
      <c r="L5" s="523">
        <v>2009</v>
      </c>
      <c r="M5" s="523">
        <v>2010</v>
      </c>
      <c r="N5" s="523">
        <v>2011</v>
      </c>
      <c r="O5" s="523">
        <v>2012</v>
      </c>
      <c r="P5" s="523">
        <v>2013</v>
      </c>
      <c r="Q5" s="523">
        <v>2014</v>
      </c>
      <c r="R5" s="523">
        <v>2015</v>
      </c>
      <c r="S5" s="523">
        <v>2016</v>
      </c>
      <c r="T5" s="523">
        <v>2017</v>
      </c>
      <c r="U5" s="523">
        <v>2018</v>
      </c>
      <c r="V5" s="523">
        <v>2019</v>
      </c>
      <c r="W5" s="523">
        <v>2020</v>
      </c>
      <c r="X5" s="523">
        <v>2021</v>
      </c>
      <c r="Y5" s="523">
        <v>2022</v>
      </c>
      <c r="Z5" s="523">
        <v>2023</v>
      </c>
      <c r="AA5" s="523">
        <v>2024</v>
      </c>
      <c r="AB5" s="523">
        <v>2025</v>
      </c>
      <c r="AC5" s="523">
        <v>2026</v>
      </c>
      <c r="AD5" s="523">
        <v>2027</v>
      </c>
      <c r="AE5" s="523">
        <v>2028</v>
      </c>
      <c r="AF5" s="523">
        <v>2029</v>
      </c>
      <c r="AG5" s="523">
        <v>2030</v>
      </c>
      <c r="AH5" s="523">
        <v>2031</v>
      </c>
      <c r="AI5" s="523">
        <v>2032</v>
      </c>
      <c r="AJ5" s="523">
        <v>2033</v>
      </c>
      <c r="AK5" s="523">
        <v>2034</v>
      </c>
      <c r="AL5" s="524">
        <v>2035</v>
      </c>
    </row>
    <row r="6" spans="1:49" ht="16">
      <c r="A6" s="525" t="s">
        <v>328</v>
      </c>
      <c r="B6" s="526">
        <f>'Deuda GNC'!B53</f>
        <v>34.596667204996294</v>
      </c>
      <c r="C6" s="526">
        <f>'Deuda GNC'!C53</f>
        <v>37.184502896709567</v>
      </c>
      <c r="D6" s="526">
        <f>'Deuda GNC'!D53</f>
        <v>41.391682239963018</v>
      </c>
      <c r="E6" s="526">
        <f>'Deuda GNC'!E53</f>
        <v>47.204899410649674</v>
      </c>
      <c r="F6" s="526">
        <f>'Deuda GNC'!F53</f>
        <v>46.291026473957494</v>
      </c>
      <c r="G6" s="526">
        <f>'Deuda GNC'!G53</f>
        <v>43.233407576248752</v>
      </c>
      <c r="H6" s="526">
        <f>'Deuda GNC'!H53</f>
        <v>42.665575359016117</v>
      </c>
      <c r="I6" s="526">
        <f>'Deuda GNC'!I53</f>
        <v>40.27494881729308</v>
      </c>
      <c r="J6" s="526">
        <f>'Deuda GNC'!J53</f>
        <v>36.534443452495445</v>
      </c>
      <c r="K6" s="526">
        <f>'Deuda GNC'!K53</f>
        <v>36.058431391747007</v>
      </c>
      <c r="L6" s="526">
        <f>'Deuda GNC'!L53</f>
        <v>37.904102466773352</v>
      </c>
      <c r="M6" s="526">
        <f>'Deuda GNC'!M53</f>
        <v>38.437760277734426</v>
      </c>
      <c r="N6" s="526">
        <f>'Deuda GNC'!N53</f>
        <v>36.285007561086125</v>
      </c>
      <c r="O6" s="526">
        <f>'Deuda GNC'!O53</f>
        <v>34.198177423862738</v>
      </c>
      <c r="P6" s="526">
        <f>'Deuda GNC'!P53</f>
        <v>36.645538733435863</v>
      </c>
      <c r="Q6" s="526">
        <f>'Deuda GNC'!Q53</f>
        <v>39.899222986321661</v>
      </c>
      <c r="R6" s="526">
        <f>'Deuda GNC'!R53</f>
        <v>44.612536988629323</v>
      </c>
      <c r="S6" s="526">
        <f>'Deuda GNC'!S53</f>
        <v>45.627006873621077</v>
      </c>
      <c r="T6" s="526">
        <f>'Deuda GNC'!T53</f>
        <v>46.379638750023261</v>
      </c>
      <c r="U6" s="526">
        <f>'Deuda GNC'!U53</f>
        <v>49.329171793973863</v>
      </c>
      <c r="V6" s="526">
        <f>'Deuda GNC'!V53</f>
        <v>50.344255691714103</v>
      </c>
      <c r="W6" s="526">
        <f>'Deuda GNC'!W53</f>
        <v>65.082231736177391</v>
      </c>
      <c r="X6" s="526">
        <f>'Deuda GNC'!X53</f>
        <v>62.976712410788259</v>
      </c>
      <c r="Y6" s="526">
        <f>'Deuda GNC'!Y53</f>
        <v>61.139820003501065</v>
      </c>
      <c r="Z6" s="526">
        <f>'Deuda GNC'!Z53</f>
        <v>56.718977359962643</v>
      </c>
      <c r="AA6" s="526" t="e">
        <f>'Deuda GNC'!AA53</f>
        <v>#DIV/0!</v>
      </c>
      <c r="AB6" s="526" t="e">
        <f>'Deuda GNC'!AB53</f>
        <v>#DIV/0!</v>
      </c>
      <c r="AC6" s="526" t="e">
        <f>'Deuda GNC'!AC53</f>
        <v>#DIV/0!</v>
      </c>
      <c r="AD6" s="526" t="e">
        <f>'Deuda GNC'!AD53</f>
        <v>#DIV/0!</v>
      </c>
      <c r="AE6" s="526" t="e">
        <f>'Deuda GNC'!AE53</f>
        <v>#DIV/0!</v>
      </c>
      <c r="AF6" s="526" t="e">
        <f>'Deuda GNC'!AF53</f>
        <v>#DIV/0!</v>
      </c>
      <c r="AG6" s="526" t="e">
        <f>'Deuda GNC'!AG53</f>
        <v>#DIV/0!</v>
      </c>
      <c r="AH6" s="526" t="e">
        <f>'Deuda GNC'!AH53</f>
        <v>#DIV/0!</v>
      </c>
      <c r="AI6" s="526" t="e">
        <f>'Deuda GNC'!AI53</f>
        <v>#DIV/0!</v>
      </c>
      <c r="AJ6" s="526" t="e">
        <f>'Deuda GNC'!AJ53</f>
        <v>#DIV/0!</v>
      </c>
      <c r="AK6" s="526" t="e">
        <f>'Deuda GNC'!AK53</f>
        <v>#DIV/0!</v>
      </c>
      <c r="AL6" s="527" t="e">
        <f>'Deuda GNC'!AL53</f>
        <v>#DIV/0!</v>
      </c>
    </row>
    <row r="7" spans="1:49">
      <c r="A7" s="51" t="s">
        <v>101</v>
      </c>
      <c r="B7" s="470">
        <f>'Deuda GNC'!B55</f>
        <v>19.657609630702591</v>
      </c>
      <c r="C7" s="470">
        <f>'Deuda GNC'!C55</f>
        <v>21.277495288830668</v>
      </c>
      <c r="D7" s="470">
        <f>'Deuda GNC'!D55</f>
        <v>22.336859449335233</v>
      </c>
      <c r="E7" s="470">
        <f>'Deuda GNC'!E55</f>
        <v>25.488764171187778</v>
      </c>
      <c r="F7" s="470">
        <f>'Deuda GNC'!F55</f>
        <v>25.104328593629848</v>
      </c>
      <c r="G7" s="470">
        <f>'Deuda GNC'!G55</f>
        <v>25.596244155425975</v>
      </c>
      <c r="H7" s="470">
        <f>'Deuda GNC'!H55</f>
        <v>28.573386435557683</v>
      </c>
      <c r="I7" s="470">
        <f>'Deuda GNC'!I55</f>
        <v>26.487619325564516</v>
      </c>
      <c r="J7" s="470">
        <f>'Deuda GNC'!J55</f>
        <v>25.413758486438194</v>
      </c>
      <c r="K7" s="470">
        <f>'Deuda GNC'!K55</f>
        <v>24.602634390130341</v>
      </c>
      <c r="L7" s="470">
        <f>'Deuda GNC'!L55</f>
        <v>26.002683710573432</v>
      </c>
      <c r="M7" s="470">
        <f>'Deuda GNC'!M55</f>
        <v>27.537114226768537</v>
      </c>
      <c r="N7" s="470">
        <f>'Deuda GNC'!N55</f>
        <v>25.949318622075523</v>
      </c>
      <c r="O7" s="470">
        <f>'Deuda GNC'!O55</f>
        <v>25.268162493900675</v>
      </c>
      <c r="P7" s="470">
        <f>'Deuda GNC'!P55</f>
        <v>27.022262265038993</v>
      </c>
      <c r="Q7" s="470">
        <f>'Deuda GNC'!Q55</f>
        <v>28.132690150156829</v>
      </c>
      <c r="R7" s="470">
        <f>'Deuda GNC'!R55</f>
        <v>28.508181084549399</v>
      </c>
      <c r="S7" s="470">
        <f>'Deuda GNC'!S55</f>
        <v>30.105754125899292</v>
      </c>
      <c r="T7" s="470">
        <f>'Deuda GNC'!T55</f>
        <v>30.892771217546304</v>
      </c>
      <c r="U7" s="470">
        <f>'Deuda GNC'!U55</f>
        <v>32.717323012491107</v>
      </c>
      <c r="V7" s="470">
        <f>'Deuda GNC'!V55</f>
        <v>34.354000937634289</v>
      </c>
      <c r="W7" s="470">
        <f>'Deuda GNC'!W55</f>
        <v>42.055645750691681</v>
      </c>
      <c r="X7" s="470">
        <f>'Deuda GNC'!X55</f>
        <v>38.457993569769222</v>
      </c>
      <c r="Y7" s="470">
        <f>'Deuda GNC'!Y55</f>
        <v>36.150783005191421</v>
      </c>
      <c r="Z7" s="470">
        <f>'Deuda GNC'!Z55</f>
        <v>37.213996647190505</v>
      </c>
      <c r="AA7" s="34">
        <f>'Deuda GNC'!AA55</f>
        <v>32.369208215969167</v>
      </c>
      <c r="AB7" s="34" t="e">
        <f>'Deuda GNC'!AB55</f>
        <v>#DIV/0!</v>
      </c>
      <c r="AC7" s="34" t="e">
        <f>'Deuda GNC'!AC55</f>
        <v>#DIV/0!</v>
      </c>
      <c r="AD7" s="34" t="e">
        <f>'Deuda GNC'!AD55</f>
        <v>#DIV/0!</v>
      </c>
      <c r="AE7" s="34" t="e">
        <f>'Deuda GNC'!AE55</f>
        <v>#DIV/0!</v>
      </c>
      <c r="AF7" s="34" t="e">
        <f>'Deuda GNC'!AF55</f>
        <v>#DIV/0!</v>
      </c>
      <c r="AG7" s="34" t="e">
        <f>'Deuda GNC'!AG55</f>
        <v>#DIV/0!</v>
      </c>
      <c r="AH7" s="34" t="e">
        <f>'Deuda GNC'!AH55</f>
        <v>#DIV/0!</v>
      </c>
      <c r="AI7" s="34" t="e">
        <f>'Deuda GNC'!AI55</f>
        <v>#DIV/0!</v>
      </c>
      <c r="AJ7" s="34" t="e">
        <f>'Deuda GNC'!AJ55</f>
        <v>#DIV/0!</v>
      </c>
      <c r="AK7" s="34" t="e">
        <f>'Deuda GNC'!AK55</f>
        <v>#DIV/0!</v>
      </c>
      <c r="AL7" s="494" t="e">
        <f>'Deuda GNC'!AL55</f>
        <v>#DIV/0!</v>
      </c>
    </row>
    <row r="8" spans="1:49">
      <c r="A8" s="51" t="s">
        <v>102</v>
      </c>
      <c r="B8" s="470">
        <f>'Deuda GNC'!B57</f>
        <v>14.939057574293699</v>
      </c>
      <c r="C8" s="470">
        <f>'Deuda GNC'!C57</f>
        <v>15.907007607878901</v>
      </c>
      <c r="D8" s="470">
        <f>'Deuda GNC'!D57</f>
        <v>19.054822790627782</v>
      </c>
      <c r="E8" s="470">
        <f>'Deuda GNC'!E57</f>
        <v>21.716135239461895</v>
      </c>
      <c r="F8" s="470">
        <f>'Deuda GNC'!F57</f>
        <v>21.186697880327646</v>
      </c>
      <c r="G8" s="470">
        <f>'Deuda GNC'!G57</f>
        <v>17.63716342082278</v>
      </c>
      <c r="H8" s="470">
        <f>'Deuda GNC'!H57</f>
        <v>14.092188923458432</v>
      </c>
      <c r="I8" s="470">
        <f>'Deuda GNC'!I57</f>
        <v>13.787329491728565</v>
      </c>
      <c r="J8" s="470">
        <f>'Deuda GNC'!J57</f>
        <v>11.120684966057254</v>
      </c>
      <c r="K8" s="470">
        <f>'Deuda GNC'!K57</f>
        <v>11.455797001616668</v>
      </c>
      <c r="L8" s="470">
        <f>'Deuda GNC'!L57</f>
        <v>11.901418756199922</v>
      </c>
      <c r="M8" s="470">
        <f>'Deuda GNC'!M57</f>
        <v>10.900646050965882</v>
      </c>
      <c r="N8" s="470">
        <f>'Deuda GNC'!N57</f>
        <v>10.335688939010602</v>
      </c>
      <c r="O8" s="470">
        <f>'Deuda GNC'!O57</f>
        <v>8.9300149299620664</v>
      </c>
      <c r="P8" s="470">
        <f>'Deuda GNC'!P57</f>
        <v>9.6232764683968668</v>
      </c>
      <c r="Q8" s="470">
        <f>'Deuda GNC'!Q57</f>
        <v>11.766532836164822</v>
      </c>
      <c r="R8" s="470">
        <f>'Deuda GNC'!R57</f>
        <v>16.104355904079924</v>
      </c>
      <c r="S8" s="470">
        <f>'Deuda GNC'!S57</f>
        <v>15.521252747721784</v>
      </c>
      <c r="T8" s="470">
        <f>'Deuda GNC'!T57</f>
        <v>15.486867532476955</v>
      </c>
      <c r="U8" s="470">
        <f>'Deuda GNC'!U57</f>
        <v>16.611848781482756</v>
      </c>
      <c r="V8" s="470">
        <f>'Deuda GNC'!V57</f>
        <v>15.990254754079809</v>
      </c>
      <c r="W8" s="470">
        <f>'Deuda GNC'!W57</f>
        <v>23.026585985485692</v>
      </c>
      <c r="X8" s="470">
        <f>'Deuda GNC'!X57</f>
        <v>24.518718841019041</v>
      </c>
      <c r="Y8" s="470">
        <f>'Deuda GNC'!Y57</f>
        <v>24.989036998309643</v>
      </c>
      <c r="Z8" s="470">
        <f>'Deuda GNC'!Z57</f>
        <v>19.504980712772134</v>
      </c>
      <c r="AA8" s="34" t="e">
        <f>'Deuda GNC'!AA57</f>
        <v>#DIV/0!</v>
      </c>
      <c r="AB8" s="34" t="e">
        <f>'Deuda GNC'!AB57</f>
        <v>#DIV/0!</v>
      </c>
      <c r="AC8" s="34" t="e">
        <f>'Deuda GNC'!AC57</f>
        <v>#DIV/0!</v>
      </c>
      <c r="AD8" s="34" t="e">
        <f>'Deuda GNC'!AD57</f>
        <v>#DIV/0!</v>
      </c>
      <c r="AE8" s="34" t="e">
        <f>'Deuda GNC'!AE57</f>
        <v>#DIV/0!</v>
      </c>
      <c r="AF8" s="34" t="e">
        <f>'Deuda GNC'!AF57</f>
        <v>#DIV/0!</v>
      </c>
      <c r="AG8" s="34" t="e">
        <f>'Deuda GNC'!AG57</f>
        <v>#DIV/0!</v>
      </c>
      <c r="AH8" s="34" t="e">
        <f>'Deuda GNC'!AH57</f>
        <v>#DIV/0!</v>
      </c>
      <c r="AI8" s="34" t="e">
        <f>'Deuda GNC'!AI57</f>
        <v>#DIV/0!</v>
      </c>
      <c r="AJ8" s="34" t="e">
        <f>'Deuda GNC'!AJ57</f>
        <v>#DIV/0!</v>
      </c>
      <c r="AK8" s="34" t="e">
        <f>'Deuda GNC'!AK57</f>
        <v>#DIV/0!</v>
      </c>
      <c r="AL8" s="494" t="e">
        <f>'Deuda GNC'!AL57</f>
        <v>#DIV/0!</v>
      </c>
    </row>
    <row r="9" spans="1:49" ht="15" customHeight="1">
      <c r="A9" s="528" t="s">
        <v>329</v>
      </c>
      <c r="B9" s="486">
        <f t="shared" ref="B9:Z9" si="0">B6</f>
        <v>34.596667204996294</v>
      </c>
      <c r="C9" s="486">
        <f t="shared" si="0"/>
        <v>37.184502896709567</v>
      </c>
      <c r="D9" s="486">
        <f t="shared" si="0"/>
        <v>41.391682239963018</v>
      </c>
      <c r="E9" s="486">
        <f t="shared" si="0"/>
        <v>47.204899410649674</v>
      </c>
      <c r="F9" s="486">
        <f t="shared" si="0"/>
        <v>46.291026473957494</v>
      </c>
      <c r="G9" s="486">
        <f t="shared" si="0"/>
        <v>43.233407576248752</v>
      </c>
      <c r="H9" s="486">
        <f t="shared" si="0"/>
        <v>42.665575359016117</v>
      </c>
      <c r="I9" s="486">
        <f t="shared" si="0"/>
        <v>40.27494881729308</v>
      </c>
      <c r="J9" s="529">
        <f t="shared" si="0"/>
        <v>36.534443452495445</v>
      </c>
      <c r="K9" s="486">
        <f t="shared" si="0"/>
        <v>36.058431391747007</v>
      </c>
      <c r="L9" s="486">
        <f t="shared" si="0"/>
        <v>37.904102466773352</v>
      </c>
      <c r="M9" s="486">
        <f t="shared" si="0"/>
        <v>38.437760277734426</v>
      </c>
      <c r="N9" s="486">
        <f t="shared" si="0"/>
        <v>36.285007561086125</v>
      </c>
      <c r="O9" s="486">
        <f t="shared" si="0"/>
        <v>34.198177423862738</v>
      </c>
      <c r="P9" s="486">
        <f t="shared" si="0"/>
        <v>36.645538733435863</v>
      </c>
      <c r="Q9" s="486">
        <f t="shared" si="0"/>
        <v>39.899222986321661</v>
      </c>
      <c r="R9" s="486">
        <f t="shared" si="0"/>
        <v>44.612536988629323</v>
      </c>
      <c r="S9" s="486">
        <f t="shared" si="0"/>
        <v>45.627006873621077</v>
      </c>
      <c r="T9" s="486">
        <f t="shared" si="0"/>
        <v>46.379638750023261</v>
      </c>
      <c r="U9" s="486">
        <f t="shared" si="0"/>
        <v>49.329171793973863</v>
      </c>
      <c r="V9" s="486">
        <f t="shared" si="0"/>
        <v>50.344255691714103</v>
      </c>
      <c r="W9" s="486">
        <f t="shared" si="0"/>
        <v>65.082231736177391</v>
      </c>
      <c r="X9" s="486">
        <f t="shared" si="0"/>
        <v>62.976712410788259</v>
      </c>
      <c r="Y9" s="486">
        <f t="shared" si="0"/>
        <v>61.139820003501065</v>
      </c>
      <c r="Z9" s="486">
        <f t="shared" si="0"/>
        <v>56.718977359962643</v>
      </c>
      <c r="AA9" s="559"/>
      <c r="AB9" s="559"/>
      <c r="AC9" s="559"/>
      <c r="AD9" s="559"/>
      <c r="AE9" s="559"/>
      <c r="AF9" s="559"/>
      <c r="AG9" s="559"/>
      <c r="AH9" s="559"/>
      <c r="AI9" s="559"/>
      <c r="AJ9" s="559"/>
      <c r="AK9" s="559"/>
      <c r="AL9" s="560"/>
    </row>
    <row r="10" spans="1:49" ht="16">
      <c r="A10" s="525" t="s">
        <v>330</v>
      </c>
      <c r="B10" s="526">
        <f>+'Deuda GNC'!B69</f>
        <v>32.944807867269041</v>
      </c>
      <c r="C10" s="526">
        <f>+'Deuda GNC'!C69</f>
        <v>35.98155605490139</v>
      </c>
      <c r="D10" s="526">
        <f>+'Deuda GNC'!D69</f>
        <v>38.88629656074297</v>
      </c>
      <c r="E10" s="526">
        <f>+'Deuda GNC'!E69</f>
        <v>46.294708276224569</v>
      </c>
      <c r="F10" s="526">
        <f>+'Deuda GNC'!F69</f>
        <v>45.180869434886056</v>
      </c>
      <c r="G10" s="526">
        <f>+'Deuda GNC'!G69</f>
        <v>41.445830763016986</v>
      </c>
      <c r="H10" s="526">
        <f>+'Deuda GNC'!H69</f>
        <v>40.442972646372297</v>
      </c>
      <c r="I10" s="526">
        <f>+'Deuda GNC'!I69</f>
        <v>38.219613194059036</v>
      </c>
      <c r="J10" s="526">
        <f>+'Deuda GNC'!J69</f>
        <v>35.747186483166885</v>
      </c>
      <c r="K10" s="526">
        <f>+'Deuda GNC'!K69</f>
        <v>35.261129741147627</v>
      </c>
      <c r="L10" s="526">
        <f>+'Deuda GNC'!L69</f>
        <v>36.547016016680772</v>
      </c>
      <c r="M10" s="526">
        <f>+'Deuda GNC'!M69</f>
        <v>36.993106602636708</v>
      </c>
      <c r="N10" s="526">
        <f>+'Deuda GNC'!N69</f>
        <v>34.395149424615958</v>
      </c>
      <c r="O10" s="526">
        <f>+'Deuda GNC'!O69</f>
        <v>33.168283941417471</v>
      </c>
      <c r="P10" s="526">
        <f>+'Deuda GNC'!P69</f>
        <v>34.187573474715059</v>
      </c>
      <c r="Q10" s="526">
        <f>+'Deuda GNC'!Q69</f>
        <v>36.708884959593632</v>
      </c>
      <c r="R10" s="526">
        <f>+'Deuda GNC'!R69</f>
        <v>41.772369287938936</v>
      </c>
      <c r="S10" s="526">
        <f>+'Deuda GNC'!S69</f>
        <v>43.167005002586293</v>
      </c>
      <c r="T10" s="526">
        <f>+'Deuda GNC'!T69</f>
        <v>43.7855415671456</v>
      </c>
      <c r="U10" s="526">
        <f>+'Deuda GNC'!U69</f>
        <v>46.343712836609299</v>
      </c>
      <c r="V10" s="526">
        <f>+'Deuda GNC'!V69</f>
        <v>48.389314842038736</v>
      </c>
      <c r="W10" s="526">
        <f>+'Deuda GNC'!W69</f>
        <v>60.701422536015329</v>
      </c>
      <c r="X10" s="526">
        <f>+'Deuda GNC'!X69</f>
        <v>60.055094550312738</v>
      </c>
      <c r="Y10" s="526">
        <f>+'Deuda GNC'!Y69</f>
        <v>57.943457330808265</v>
      </c>
      <c r="Z10" s="526">
        <f>+'Deuda GNC'!Z69</f>
        <v>56.718977359962643</v>
      </c>
      <c r="AA10" s="526" t="e">
        <f>+'Deuda GNC'!AA69</f>
        <v>#DIV/0!</v>
      </c>
      <c r="AB10" s="526" t="e">
        <f>+'Deuda GNC'!AB69</f>
        <v>#DIV/0!</v>
      </c>
      <c r="AC10" s="526" t="e">
        <f>+'Deuda GNC'!AC69</f>
        <v>#DIV/0!</v>
      </c>
      <c r="AD10" s="526" t="e">
        <f>+'Deuda GNC'!AD69</f>
        <v>#DIV/0!</v>
      </c>
      <c r="AE10" s="526" t="e">
        <f>+'Deuda GNC'!AE69</f>
        <v>#DIV/0!</v>
      </c>
      <c r="AF10" s="526" t="e">
        <f>+'Deuda GNC'!AF69</f>
        <v>#DIV/0!</v>
      </c>
      <c r="AG10" s="526" t="e">
        <f>+'Deuda GNC'!AG69</f>
        <v>#DIV/0!</v>
      </c>
      <c r="AH10" s="526" t="e">
        <f>+'Deuda GNC'!AH69</f>
        <v>#DIV/0!</v>
      </c>
      <c r="AI10" s="526" t="e">
        <f>+'Deuda GNC'!AI69</f>
        <v>#DIV/0!</v>
      </c>
      <c r="AJ10" s="526" t="e">
        <f>+'Deuda GNC'!AJ69</f>
        <v>#DIV/0!</v>
      </c>
      <c r="AK10" s="526" t="e">
        <f>+'Deuda GNC'!AK69</f>
        <v>#DIV/0!</v>
      </c>
      <c r="AL10" s="527" t="e">
        <f>+'Deuda GNC'!AL69</f>
        <v>#DIV/0!</v>
      </c>
      <c r="AM10" s="34"/>
      <c r="AN10" s="34"/>
      <c r="AO10" s="34"/>
      <c r="AP10" s="34"/>
      <c r="AQ10" s="34"/>
      <c r="AR10" s="34"/>
      <c r="AS10" s="34"/>
      <c r="AT10" s="34"/>
      <c r="AU10" s="34"/>
      <c r="AV10" s="34"/>
      <c r="AW10" s="34"/>
    </row>
    <row r="11" spans="1:49" ht="15" customHeight="1">
      <c r="A11" s="51" t="s">
        <v>101</v>
      </c>
      <c r="B11" s="470">
        <f>+'Deuda GNC'!B71</f>
        <v>18.935565586753082</v>
      </c>
      <c r="C11" s="470">
        <f>+'Deuda GNC'!C71</f>
        <v>20.792511049887729</v>
      </c>
      <c r="D11" s="470">
        <f>+'Deuda GNC'!D71</f>
        <v>21.69778702162526</v>
      </c>
      <c r="E11" s="470">
        <f>+'Deuda GNC'!E71</f>
        <v>25.019090765696312</v>
      </c>
      <c r="F11" s="470">
        <f>+'Deuda GNC'!F71</f>
        <v>24.642275114724697</v>
      </c>
      <c r="G11" s="470">
        <f>+'Deuda GNC'!G71</f>
        <v>24.688262973523194</v>
      </c>
      <c r="H11" s="470">
        <f>+'Deuda GNC'!H71</f>
        <v>27.281511230694399</v>
      </c>
      <c r="I11" s="470">
        <f>+'Deuda GNC'!I71</f>
        <v>25.588178220707647</v>
      </c>
      <c r="J11" s="469">
        <f>+'Deuda GNC'!J71</f>
        <v>24.845123933978254</v>
      </c>
      <c r="K11" s="470">
        <f>+'Deuda GNC'!K71</f>
        <v>24.078962486639877</v>
      </c>
      <c r="L11" s="470">
        <f>+'Deuda GNC'!L71</f>
        <v>25.6300410696639</v>
      </c>
      <c r="M11" s="470">
        <f>+'Deuda GNC'!M71</f>
        <v>26.569212594698637</v>
      </c>
      <c r="N11" s="470">
        <f>+'Deuda GNC'!N71</f>
        <v>24.538100375393331</v>
      </c>
      <c r="O11" s="470">
        <f>+'Deuda GNC'!O71</f>
        <v>24.398754999474995</v>
      </c>
      <c r="P11" s="470">
        <f>+'Deuda GNC'!P71</f>
        <v>24.86875956288829</v>
      </c>
      <c r="Q11" s="470">
        <f>+'Deuda GNC'!Q71</f>
        <v>25.262990139287815</v>
      </c>
      <c r="R11" s="470">
        <f>+'Deuda GNC'!R71</f>
        <v>26.360604589432612</v>
      </c>
      <c r="S11" s="470">
        <f>+'Deuda GNC'!S71</f>
        <v>28.625058541699467</v>
      </c>
      <c r="T11" s="470">
        <f>+'Deuda GNC'!T71</f>
        <v>29.127676048746498</v>
      </c>
      <c r="U11" s="470">
        <f>+'Deuda GNC'!U71</f>
        <v>30.641158898012783</v>
      </c>
      <c r="V11" s="470">
        <f>+'Deuda GNC'!V71</f>
        <v>33.028538758320643</v>
      </c>
      <c r="W11" s="470">
        <f>+'Deuda GNC'!W71</f>
        <v>39.120462662588132</v>
      </c>
      <c r="X11" s="470">
        <f>+'Deuda GNC'!X71</f>
        <v>36.138214769784717</v>
      </c>
      <c r="Y11" s="470">
        <f>+'Deuda GNC'!Y71</f>
        <v>33.817764134673709</v>
      </c>
      <c r="Z11" s="470">
        <f>+'Deuda GNC'!Z71</f>
        <v>37.213996647190505</v>
      </c>
      <c r="AA11" s="34">
        <f>+'Deuda GNC'!AA71</f>
        <v>32.369208215969167</v>
      </c>
      <c r="AB11" s="34" t="e">
        <f>+'Deuda GNC'!AB71</f>
        <v>#DIV/0!</v>
      </c>
      <c r="AC11" s="34" t="e">
        <f>+'Deuda GNC'!AC71</f>
        <v>#DIV/0!</v>
      </c>
      <c r="AD11" s="34" t="e">
        <f>+'Deuda GNC'!AD71</f>
        <v>#DIV/0!</v>
      </c>
      <c r="AE11" s="34" t="e">
        <f>+'Deuda GNC'!AE71</f>
        <v>#DIV/0!</v>
      </c>
      <c r="AF11" s="34" t="e">
        <f>+'Deuda GNC'!AF71</f>
        <v>#DIV/0!</v>
      </c>
      <c r="AG11" s="34" t="e">
        <f>+'Deuda GNC'!AG71</f>
        <v>#DIV/0!</v>
      </c>
      <c r="AH11" s="34" t="e">
        <f>+'Deuda GNC'!AH71</f>
        <v>#DIV/0!</v>
      </c>
      <c r="AI11" s="34" t="e">
        <f>+'Deuda GNC'!AI71</f>
        <v>#DIV/0!</v>
      </c>
      <c r="AJ11" s="34" t="e">
        <f>+'Deuda GNC'!AJ71</f>
        <v>#DIV/0!</v>
      </c>
      <c r="AK11" s="34" t="e">
        <f>+'Deuda GNC'!AK71</f>
        <v>#DIV/0!</v>
      </c>
      <c r="AL11" s="494" t="e">
        <f>+'Deuda GNC'!AL71</f>
        <v>#DIV/0!</v>
      </c>
      <c r="AM11" s="34"/>
      <c r="AN11" s="34"/>
      <c r="AO11" s="34"/>
      <c r="AP11" s="34"/>
      <c r="AQ11" s="34"/>
      <c r="AR11" s="34"/>
      <c r="AS11" s="34"/>
      <c r="AT11" s="34"/>
      <c r="AU11" s="34"/>
      <c r="AV11" s="34"/>
      <c r="AW11" s="34"/>
    </row>
    <row r="12" spans="1:49" ht="15" customHeight="1">
      <c r="A12" s="51" t="s">
        <v>102</v>
      </c>
      <c r="B12" s="470">
        <f>+'Deuda GNC'!B73</f>
        <v>14.009242280515959</v>
      </c>
      <c r="C12" s="470">
        <f>+'Deuda GNC'!C73</f>
        <v>15.189045005013663</v>
      </c>
      <c r="D12" s="470">
        <f>+'Deuda GNC'!D73</f>
        <v>17.18850953911771</v>
      </c>
      <c r="E12" s="470">
        <f>+'Deuda GNC'!E73</f>
        <v>21.275617510528257</v>
      </c>
      <c r="F12" s="470">
        <f>+'Deuda GNC'!F73</f>
        <v>20.538594320161359</v>
      </c>
      <c r="G12" s="470">
        <f>+'Deuda GNC'!G73</f>
        <v>16.757567789493784</v>
      </c>
      <c r="H12" s="470">
        <f>+'Deuda GNC'!H73</f>
        <v>13.161461415677897</v>
      </c>
      <c r="I12" s="470">
        <f>+'Deuda GNC'!I73</f>
        <v>12.631434973351388</v>
      </c>
      <c r="J12" s="469">
        <f>+'Deuda GNC'!J73</f>
        <v>10.902062549188628</v>
      </c>
      <c r="K12" s="470">
        <f>+'Deuda GNC'!K73</f>
        <v>11.182167254507753</v>
      </c>
      <c r="L12" s="470">
        <f>+'Deuda GNC'!L73</f>
        <v>10.916974947016875</v>
      </c>
      <c r="M12" s="470">
        <f>+'Deuda GNC'!M73</f>
        <v>10.423894007938069</v>
      </c>
      <c r="N12" s="470">
        <f>+'Deuda GNC'!N73</f>
        <v>9.8570490492226295</v>
      </c>
      <c r="O12" s="470">
        <f>+'Deuda GNC'!O73</f>
        <v>8.76952894194247</v>
      </c>
      <c r="P12" s="470">
        <f>+'Deuda GNC'!P73</f>
        <v>9.318813911826771</v>
      </c>
      <c r="Q12" s="470">
        <f>+'Deuda GNC'!Q73</f>
        <v>11.445894820305821</v>
      </c>
      <c r="R12" s="470">
        <f>+'Deuda GNC'!R73</f>
        <v>15.411764698506328</v>
      </c>
      <c r="S12" s="470">
        <f>+'Deuda GNC'!S73</f>
        <v>14.541946460886832</v>
      </c>
      <c r="T12" s="470">
        <f>+'Deuda GNC'!T73</f>
        <v>14.657865518399102</v>
      </c>
      <c r="U12" s="470">
        <f>+'Deuda GNC'!U73</f>
        <v>15.702553938596514</v>
      </c>
      <c r="V12" s="470">
        <f>+'Deuda GNC'!V73</f>
        <v>15.360776083718095</v>
      </c>
      <c r="W12" s="470">
        <f>+'Deuda GNC'!W73</f>
        <v>21.580959873427201</v>
      </c>
      <c r="X12" s="470">
        <f>+'Deuda GNC'!X73</f>
        <v>23.916879780528017</v>
      </c>
      <c r="Y12" s="470">
        <f>+'Deuda GNC'!Y73</f>
        <v>24.125693196134556</v>
      </c>
      <c r="Z12" s="470">
        <f>+'Deuda GNC'!Z73</f>
        <v>19.504980712772134</v>
      </c>
      <c r="AA12" s="34" t="e">
        <f>+'Deuda GNC'!AA73</f>
        <v>#DIV/0!</v>
      </c>
      <c r="AB12" s="34" t="e">
        <f>+'Deuda GNC'!AB73</f>
        <v>#DIV/0!</v>
      </c>
      <c r="AC12" s="34" t="e">
        <f>+'Deuda GNC'!AC73</f>
        <v>#DIV/0!</v>
      </c>
      <c r="AD12" s="34" t="e">
        <f>+'Deuda GNC'!AD73</f>
        <v>#DIV/0!</v>
      </c>
      <c r="AE12" s="34" t="e">
        <f>+'Deuda GNC'!AE73</f>
        <v>#DIV/0!</v>
      </c>
      <c r="AF12" s="34" t="e">
        <f>+'Deuda GNC'!AF73</f>
        <v>#DIV/0!</v>
      </c>
      <c r="AG12" s="34" t="e">
        <f>+'Deuda GNC'!AG73</f>
        <v>#DIV/0!</v>
      </c>
      <c r="AH12" s="34" t="e">
        <f>+'Deuda GNC'!AH73</f>
        <v>#DIV/0!</v>
      </c>
      <c r="AI12" s="34" t="e">
        <f>+'Deuda GNC'!AI73</f>
        <v>#DIV/0!</v>
      </c>
      <c r="AJ12" s="34" t="e">
        <f>+'Deuda GNC'!AJ73</f>
        <v>#DIV/0!</v>
      </c>
      <c r="AK12" s="34" t="e">
        <f>+'Deuda GNC'!AK73</f>
        <v>#DIV/0!</v>
      </c>
      <c r="AL12" s="494" t="e">
        <f>+'Deuda GNC'!AL73</f>
        <v>#DIV/0!</v>
      </c>
      <c r="AM12" s="34"/>
      <c r="AN12" s="34"/>
      <c r="AO12" s="34"/>
      <c r="AP12" s="34"/>
      <c r="AQ12" s="34"/>
      <c r="AR12" s="34"/>
      <c r="AS12" s="34"/>
      <c r="AT12" s="34"/>
      <c r="AU12" s="34"/>
      <c r="AV12" s="34"/>
      <c r="AW12" s="34"/>
    </row>
    <row r="13" spans="1:49" ht="15" customHeight="1">
      <c r="A13" s="528" t="s">
        <v>329</v>
      </c>
      <c r="B13" s="486">
        <f t="shared" ref="B13:Z13" si="1">B10</f>
        <v>32.944807867269041</v>
      </c>
      <c r="C13" s="486">
        <f t="shared" si="1"/>
        <v>35.98155605490139</v>
      </c>
      <c r="D13" s="486">
        <f t="shared" si="1"/>
        <v>38.88629656074297</v>
      </c>
      <c r="E13" s="486">
        <f t="shared" si="1"/>
        <v>46.294708276224569</v>
      </c>
      <c r="F13" s="486">
        <f t="shared" si="1"/>
        <v>45.180869434886056</v>
      </c>
      <c r="G13" s="486">
        <f t="shared" si="1"/>
        <v>41.445830763016986</v>
      </c>
      <c r="H13" s="486">
        <f t="shared" si="1"/>
        <v>40.442972646372297</v>
      </c>
      <c r="I13" s="486">
        <f t="shared" si="1"/>
        <v>38.219613194059036</v>
      </c>
      <c r="J13" s="529">
        <f t="shared" si="1"/>
        <v>35.747186483166885</v>
      </c>
      <c r="K13" s="486">
        <f t="shared" si="1"/>
        <v>35.261129741147627</v>
      </c>
      <c r="L13" s="486">
        <f t="shared" si="1"/>
        <v>36.547016016680772</v>
      </c>
      <c r="M13" s="486">
        <f t="shared" si="1"/>
        <v>36.993106602636708</v>
      </c>
      <c r="N13" s="486">
        <f t="shared" si="1"/>
        <v>34.395149424615958</v>
      </c>
      <c r="O13" s="486">
        <f t="shared" si="1"/>
        <v>33.168283941417471</v>
      </c>
      <c r="P13" s="486">
        <f t="shared" si="1"/>
        <v>34.187573474715059</v>
      </c>
      <c r="Q13" s="486">
        <f t="shared" si="1"/>
        <v>36.708884959593632</v>
      </c>
      <c r="R13" s="486">
        <f t="shared" si="1"/>
        <v>41.772369287938936</v>
      </c>
      <c r="S13" s="486">
        <f t="shared" si="1"/>
        <v>43.167005002586293</v>
      </c>
      <c r="T13" s="486">
        <f t="shared" si="1"/>
        <v>43.7855415671456</v>
      </c>
      <c r="U13" s="486">
        <f t="shared" si="1"/>
        <v>46.343712836609299</v>
      </c>
      <c r="V13" s="486">
        <f t="shared" si="1"/>
        <v>48.389314842038736</v>
      </c>
      <c r="W13" s="486">
        <f t="shared" si="1"/>
        <v>60.701422536015329</v>
      </c>
      <c r="X13" s="486">
        <f t="shared" si="1"/>
        <v>60.055094550312738</v>
      </c>
      <c r="Y13" s="486">
        <f t="shared" si="1"/>
        <v>57.943457330808265</v>
      </c>
      <c r="Z13" s="486">
        <f t="shared" si="1"/>
        <v>56.718977359962643</v>
      </c>
      <c r="AA13" s="559">
        <v>55.255646594715493</v>
      </c>
      <c r="AB13" s="559">
        <v>56.463851150928747</v>
      </c>
      <c r="AC13" s="559">
        <v>56.641157420954457</v>
      </c>
      <c r="AD13" s="559">
        <v>56.600377915866964</v>
      </c>
      <c r="AE13" s="559">
        <v>56.680860277307374</v>
      </c>
      <c r="AF13" s="559">
        <v>56.510542547969969</v>
      </c>
      <c r="AG13" s="559">
        <v>56.258096232265729</v>
      </c>
      <c r="AH13" s="559">
        <v>56.077147680684959</v>
      </c>
      <c r="AI13" s="559">
        <v>55.845617550628916</v>
      </c>
      <c r="AJ13" s="559">
        <v>55.648561553455046</v>
      </c>
      <c r="AK13" s="559">
        <v>55.542492560638834</v>
      </c>
      <c r="AL13" s="560">
        <v>55.449678371692116</v>
      </c>
      <c r="AM13" s="34"/>
      <c r="AN13" s="34"/>
      <c r="AO13" s="34"/>
      <c r="AP13" s="34"/>
      <c r="AQ13" s="34"/>
      <c r="AR13" s="34"/>
      <c r="AS13" s="34"/>
      <c r="AT13" s="34"/>
      <c r="AU13" s="34"/>
      <c r="AV13" s="34"/>
      <c r="AW13" s="34"/>
    </row>
    <row r="14" spans="1:49" ht="15" customHeight="1">
      <c r="B14" s="34"/>
      <c r="C14" s="34"/>
      <c r="D14" s="34"/>
      <c r="E14" s="34"/>
      <c r="F14" s="34"/>
      <c r="G14" s="34"/>
      <c r="H14" s="34"/>
      <c r="I14" s="34"/>
      <c r="J14" s="57"/>
      <c r="K14" s="34"/>
      <c r="L14" s="34"/>
      <c r="M14" s="34"/>
      <c r="N14" s="34"/>
      <c r="O14" s="34"/>
      <c r="P14" s="34"/>
      <c r="AA14" s="34"/>
      <c r="AB14" s="34"/>
      <c r="AC14" s="34"/>
      <c r="AD14" s="34"/>
      <c r="AE14" s="34"/>
      <c r="AF14" s="34"/>
      <c r="AG14" s="34"/>
      <c r="AH14" s="34"/>
      <c r="AI14" s="34"/>
      <c r="AJ14" s="34"/>
      <c r="AK14" s="34"/>
      <c r="AL14" s="34"/>
    </row>
    <row r="15" spans="1:49" ht="15" customHeight="1">
      <c r="A15" s="374" t="s">
        <v>20</v>
      </c>
      <c r="B15" s="523">
        <v>1999</v>
      </c>
      <c r="C15" s="523">
        <v>2000</v>
      </c>
      <c r="D15" s="523">
        <v>2001</v>
      </c>
      <c r="E15" s="523">
        <v>2002</v>
      </c>
      <c r="F15" s="523">
        <v>2003</v>
      </c>
      <c r="G15" s="523">
        <v>2004</v>
      </c>
      <c r="H15" s="523">
        <v>2005</v>
      </c>
      <c r="I15" s="523">
        <v>2006</v>
      </c>
      <c r="J15" s="523">
        <v>2007</v>
      </c>
      <c r="K15" s="523">
        <v>2008</v>
      </c>
      <c r="L15" s="523">
        <v>2009</v>
      </c>
      <c r="M15" s="523">
        <v>2010</v>
      </c>
      <c r="N15" s="523">
        <v>2011</v>
      </c>
      <c r="O15" s="523">
        <v>2012</v>
      </c>
      <c r="P15" s="523">
        <v>2013</v>
      </c>
      <c r="Q15" s="523">
        <v>2014</v>
      </c>
      <c r="R15" s="523">
        <v>2015</v>
      </c>
      <c r="S15" s="523">
        <v>2016</v>
      </c>
      <c r="T15" s="523">
        <v>2017</v>
      </c>
      <c r="U15" s="523">
        <v>2018</v>
      </c>
      <c r="V15" s="523">
        <v>2019</v>
      </c>
      <c r="W15" s="523">
        <v>2020</v>
      </c>
      <c r="X15" s="523">
        <v>2021</v>
      </c>
      <c r="Y15" s="523">
        <v>2022</v>
      </c>
      <c r="Z15" s="523">
        <v>2023</v>
      </c>
      <c r="AA15" s="523">
        <v>2024</v>
      </c>
      <c r="AB15" s="523">
        <v>2025</v>
      </c>
      <c r="AC15" s="523">
        <v>2026</v>
      </c>
      <c r="AD15" s="523">
        <v>2027</v>
      </c>
      <c r="AE15" s="523">
        <v>2028</v>
      </c>
      <c r="AF15" s="523">
        <v>2029</v>
      </c>
      <c r="AG15" s="523">
        <v>2030</v>
      </c>
      <c r="AH15" s="523">
        <v>2031</v>
      </c>
      <c r="AI15" s="523">
        <v>2032</v>
      </c>
      <c r="AJ15" s="523">
        <v>2033</v>
      </c>
      <c r="AK15" s="523">
        <v>2034</v>
      </c>
      <c r="AL15" s="524">
        <v>2035</v>
      </c>
      <c r="AM15" s="34"/>
      <c r="AN15" s="34"/>
      <c r="AO15" s="34"/>
      <c r="AP15" s="34"/>
      <c r="AQ15" s="34"/>
      <c r="AR15" s="34"/>
      <c r="AS15" s="34"/>
      <c r="AT15" s="34"/>
      <c r="AU15" s="34"/>
      <c r="AV15" s="34"/>
      <c r="AW15" s="34"/>
    </row>
    <row r="16" spans="1:49" ht="15" customHeight="1">
      <c r="A16" s="51" t="s">
        <v>32</v>
      </c>
      <c r="B16" s="34">
        <f>SUM('Deuda GNC'!B90:B91)</f>
        <v>5.3755506866366094</v>
      </c>
      <c r="C16" s="34">
        <f>SUM('Deuda GNC'!C90:C91)</f>
        <v>3.6981308885456139</v>
      </c>
      <c r="D16" s="34">
        <f>SUM('Deuda GNC'!D90:D91)</f>
        <v>5.3721690673325631</v>
      </c>
      <c r="E16" s="34">
        <f>SUM('Deuda GNC'!E90:E91)</f>
        <v>5.0172682853108057</v>
      </c>
      <c r="F16" s="34">
        <f>SUM('Deuda GNC'!F90:F91)</f>
        <v>5.3233484137203693</v>
      </c>
      <c r="G16" s="34">
        <f>SUM('Deuda GNC'!G90:G91)</f>
        <v>4.243991845479532</v>
      </c>
      <c r="H16" s="34">
        <f>SUM('Deuda GNC'!H90:H91)</f>
        <v>5.1959829260954375</v>
      </c>
      <c r="I16" s="34">
        <f>SUM('Deuda GNC'!I90:I91)</f>
        <v>5.2959897798902711</v>
      </c>
      <c r="J16" s="34">
        <f>SUM('Deuda GNC'!J90:J91)</f>
        <v>4.7825121720116783</v>
      </c>
      <c r="K16" s="34">
        <f>SUM('Deuda GNC'!K90:K91)</f>
        <v>4.0268881023241745</v>
      </c>
      <c r="L16" s="34">
        <f>SUM('Deuda GNC'!L90:L91)</f>
        <v>3.0492433176028921</v>
      </c>
      <c r="M16" s="34">
        <f>SUM('Deuda GNC'!M90:M91)</f>
        <v>3.0038593532542541</v>
      </c>
      <c r="N16" s="34">
        <f>SUM('Deuda GNC'!N90:N91)</f>
        <v>2.5506325138595338</v>
      </c>
      <c r="O16" s="34">
        <f>SUM('Deuda GNC'!O90:O91)</f>
        <v>2.623647110066722</v>
      </c>
      <c r="P16" s="34">
        <f>SUM('Deuda GNC'!P90:P91)</f>
        <v>2.8314694414084016</v>
      </c>
      <c r="Q16" s="34">
        <f>SUM('Deuda GNC'!Q90:Q91)</f>
        <v>2.8655910351747691</v>
      </c>
      <c r="R16" s="34">
        <f>SUM('Deuda GNC'!R90:R91)</f>
        <v>3.1886651597697551</v>
      </c>
      <c r="S16" s="34">
        <f>SUM('Deuda GNC'!S90:S91)</f>
        <v>1.8050892397991736</v>
      </c>
      <c r="T16" s="34">
        <f>SUM('Deuda GNC'!T90:T91)</f>
        <v>2.4077331308892833</v>
      </c>
      <c r="U16" s="34">
        <f>SUM('Deuda GNC'!U90:U91)</f>
        <v>0.97812003954227555</v>
      </c>
      <c r="V16" s="34">
        <f>SUM('Deuda GNC'!V90:V91)</f>
        <v>3.08398991394336</v>
      </c>
      <c r="W16" s="34">
        <f>SUM('Deuda GNC'!W90:W91)</f>
        <v>1.4917644445356302</v>
      </c>
      <c r="X16" s="34">
        <f>SUM('Deuda GNC'!X90:X91)</f>
        <v>2.3923358357290567</v>
      </c>
      <c r="Y16" s="34">
        <f>SUM('Deuda GNC'!Y90:Y91)</f>
        <v>1.5349962708516891</v>
      </c>
      <c r="Z16" s="34">
        <f>SUM('Deuda GNC'!Z90:Z91)</f>
        <v>1.6823177508611171</v>
      </c>
      <c r="AA16" s="34">
        <f>SUM('Deuda GNC'!AA90:AA91)</f>
        <v>0.45714552884499082</v>
      </c>
      <c r="AB16" s="34">
        <f>SUM('Deuda GNC'!AB90:AB91)</f>
        <v>1.7090436888032214</v>
      </c>
      <c r="AC16" s="34">
        <f>SUM('Deuda GNC'!AC90:AC91)</f>
        <v>1.9473973513636</v>
      </c>
      <c r="AD16" s="34">
        <f>SUM('Deuda GNC'!AD90:AD91)</f>
        <v>2.8214024704661114</v>
      </c>
      <c r="AE16" s="34">
        <f>SUM('Deuda GNC'!AE90:AE91)</f>
        <v>2.1459715960833585</v>
      </c>
      <c r="AF16" s="34" t="e">
        <f>SUM('Deuda GNC'!AF90:AF91)</f>
        <v>#DIV/0!</v>
      </c>
      <c r="AG16" s="34" t="e">
        <f>SUM('Deuda GNC'!AG90:AG91)</f>
        <v>#DIV/0!</v>
      </c>
      <c r="AH16" s="34" t="e">
        <f>SUM('Deuda GNC'!AH90:AH91)</f>
        <v>#DIV/0!</v>
      </c>
      <c r="AI16" s="34" t="e">
        <f>SUM('Deuda GNC'!AI90:AI91)</f>
        <v>#DIV/0!</v>
      </c>
      <c r="AJ16" s="34" t="e">
        <f>SUM('Deuda GNC'!AJ90:AJ91)</f>
        <v>#DIV/0!</v>
      </c>
      <c r="AK16" s="34" t="e">
        <f>SUM('Deuda GNC'!AK90:AK91)</f>
        <v>#DIV/0!</v>
      </c>
      <c r="AL16" s="494" t="e">
        <f>SUM('Deuda GNC'!AL90:AL91)</f>
        <v>#DIV/0!</v>
      </c>
      <c r="AM16" s="34"/>
      <c r="AN16" s="34"/>
      <c r="AO16" s="34"/>
      <c r="AP16" s="34"/>
      <c r="AQ16" s="34"/>
      <c r="AR16" s="34"/>
      <c r="AS16" s="34"/>
      <c r="AT16" s="34"/>
      <c r="AU16" s="34"/>
      <c r="AV16" s="34"/>
      <c r="AW16" s="34"/>
    </row>
    <row r="17" spans="1:49" ht="15" customHeight="1">
      <c r="A17" s="51" t="s">
        <v>135</v>
      </c>
      <c r="B17" s="34">
        <f>'Deuda GNC'!B94</f>
        <v>4.2794530328864644</v>
      </c>
      <c r="C17" s="34">
        <f>'Deuda GNC'!C94</f>
        <v>1.4892671407099962</v>
      </c>
      <c r="D17" s="34">
        <f>'Deuda GNC'!D94</f>
        <v>1.4092212171420972</v>
      </c>
      <c r="E17" s="34">
        <f>'Deuda GNC'!E94</f>
        <v>1.7310971828301343</v>
      </c>
      <c r="F17" s="34">
        <f>'Deuda GNC'!F94</f>
        <v>0.48876801897755956</v>
      </c>
      <c r="G17" s="34">
        <f>'Deuda GNC'!G94</f>
        <v>0.93683306688121182</v>
      </c>
      <c r="H17" s="34">
        <f>'Deuda GNC'!H94</f>
        <v>0.88562840036688328</v>
      </c>
      <c r="I17" s="34">
        <f>'Deuda GNC'!I94</f>
        <v>-0.2347255364003738</v>
      </c>
      <c r="J17" s="34">
        <f>'Deuda GNC'!J94</f>
        <v>-1.0022402061804945</v>
      </c>
      <c r="K17" s="34">
        <f>'Deuda GNC'!K94</f>
        <v>-0.9018517929432921</v>
      </c>
      <c r="L17" s="34">
        <f>'Deuda GNC'!L94</f>
        <v>1.1096844851208443</v>
      </c>
      <c r="M17" s="34">
        <f>'Deuda GNC'!M94</f>
        <v>1.1344431298088562</v>
      </c>
      <c r="N17" s="34">
        <f>'Deuda GNC'!N94</f>
        <v>0.1144413754797256</v>
      </c>
      <c r="O17" s="34">
        <f>'Deuda GNC'!O94</f>
        <v>-0.24172929057543388</v>
      </c>
      <c r="P17" s="34">
        <f>'Deuda GNC'!P94</f>
        <v>3.9480641665599288E-2</v>
      </c>
      <c r="Q17" s="34">
        <f>'Deuda GNC'!Q94</f>
        <v>0.18049775645389654</v>
      </c>
      <c r="R17" s="34">
        <f>'Deuda GNC'!R94</f>
        <v>0.45020642068324412</v>
      </c>
      <c r="S17" s="34">
        <f>'Deuda GNC'!S94</f>
        <v>1.1048811875372302</v>
      </c>
      <c r="T17" s="34">
        <f>'Deuda GNC'!T94</f>
        <v>0.76254826139745391</v>
      </c>
      <c r="U17" s="34">
        <f>'Deuda GNC'!U94</f>
        <v>0.28769042117224924</v>
      </c>
      <c r="V17" s="34">
        <f>'Deuda GNC'!V94</f>
        <v>-0.44826039035369214</v>
      </c>
      <c r="W17" s="34">
        <f>'Deuda GNC'!W94</f>
        <v>4.9538930925683369</v>
      </c>
      <c r="X17" s="34">
        <f>'Deuda GNC'!X94</f>
        <v>3.6451390479718802</v>
      </c>
      <c r="Y17" s="34">
        <f>'Deuda GNC'!Y94</f>
        <v>0.98560831693350492</v>
      </c>
      <c r="Z17" s="34">
        <f>'Deuda GNC'!Z94</f>
        <v>0</v>
      </c>
      <c r="AA17" s="34">
        <f>'Deuda GNC'!AA94</f>
        <v>0</v>
      </c>
      <c r="AB17" s="34">
        <f>'Deuda GNC'!AB94</f>
        <v>0</v>
      </c>
      <c r="AC17" s="34">
        <f>'Deuda GNC'!AC94</f>
        <v>0</v>
      </c>
      <c r="AD17" s="34">
        <f>'Deuda GNC'!AD94</f>
        <v>0</v>
      </c>
      <c r="AE17" s="34">
        <f>'Deuda GNC'!AE94</f>
        <v>0</v>
      </c>
      <c r="AF17" s="34">
        <f>'Deuda GNC'!AF94</f>
        <v>0</v>
      </c>
      <c r="AG17" s="34">
        <f>'Deuda GNC'!AG94</f>
        <v>0</v>
      </c>
      <c r="AH17" s="34">
        <f>'Deuda GNC'!AH94</f>
        <v>0</v>
      </c>
      <c r="AI17" s="34">
        <f>'Deuda GNC'!AI94</f>
        <v>0</v>
      </c>
      <c r="AJ17" s="34">
        <f>'Deuda GNC'!AJ94</f>
        <v>0</v>
      </c>
      <c r="AK17" s="34">
        <f>'Deuda GNC'!AK94</f>
        <v>0</v>
      </c>
      <c r="AL17" s="494">
        <f>'Deuda GNC'!AL94</f>
        <v>0</v>
      </c>
      <c r="AM17" s="34"/>
      <c r="AN17" s="34"/>
      <c r="AO17" s="34"/>
      <c r="AP17" s="34"/>
      <c r="AQ17" s="34"/>
      <c r="AR17" s="34"/>
      <c r="AS17" s="34"/>
      <c r="AT17" s="34"/>
      <c r="AU17" s="34"/>
      <c r="AV17" s="34"/>
      <c r="AW17" s="34"/>
    </row>
    <row r="18" spans="1:49" ht="15" customHeight="1">
      <c r="A18" s="51" t="s">
        <v>331</v>
      </c>
      <c r="B18" s="34">
        <f>'Deuda GNC'!B93</f>
        <v>3.3157415783311905</v>
      </c>
      <c r="C18" s="34">
        <f>'Deuda GNC'!C93</f>
        <v>3.3025266158536057</v>
      </c>
      <c r="D18" s="34">
        <f>'Deuda GNC'!D93</f>
        <v>3.4222943727967774</v>
      </c>
      <c r="E18" s="34">
        <f>'Deuda GNC'!E93</f>
        <v>3.3272481297195347</v>
      </c>
      <c r="F18" s="34">
        <f>'Deuda GNC'!F93</f>
        <v>3.6008657196822549</v>
      </c>
      <c r="G18" s="34">
        <f>'Deuda GNC'!G93</f>
        <v>3.3928753960208424</v>
      </c>
      <c r="H18" s="34">
        <f>'Deuda GNC'!H93</f>
        <v>2.9237042925852683</v>
      </c>
      <c r="I18" s="34">
        <f>'Deuda GNC'!I93</f>
        <v>3.4924436952728057</v>
      </c>
      <c r="J18" s="34">
        <f>'Deuda GNC'!J93</f>
        <v>3.5043683975202273</v>
      </c>
      <c r="K18" s="34">
        <f>'Deuda GNC'!K93</f>
        <v>2.9216340544095365</v>
      </c>
      <c r="L18" s="34">
        <f>'Deuda GNC'!L93</f>
        <v>2.9073691944765461</v>
      </c>
      <c r="M18" s="34">
        <f>'Deuda GNC'!M93</f>
        <v>2.6123378946434994</v>
      </c>
      <c r="N18" s="34">
        <f>'Deuda GNC'!N93</f>
        <v>2.526073351098955</v>
      </c>
      <c r="O18" s="34">
        <f>'Deuda GNC'!O93</f>
        <v>2.4120068088640716</v>
      </c>
      <c r="P18" s="34">
        <f>'Deuda GNC'!P93</f>
        <v>2.2131896177170503</v>
      </c>
      <c r="Q18" s="34">
        <f>'Deuda GNC'!Q93</f>
        <v>2.0440036433812292</v>
      </c>
      <c r="R18" s="34">
        <f>'Deuda GNC'!R93</f>
        <v>2.1898036838531132</v>
      </c>
      <c r="S18" s="34">
        <f>'Deuda GNC'!S93</f>
        <v>2.4922666361547261</v>
      </c>
      <c r="T18" s="34">
        <f>'Deuda GNC'!T93</f>
        <v>2.5704256402729952</v>
      </c>
      <c r="U18" s="34">
        <f>'Deuda GNC'!U93</f>
        <v>2.5053396254755089</v>
      </c>
      <c r="V18" s="34">
        <f>'Deuda GNC'!V93</f>
        <v>2.5370901384015725</v>
      </c>
      <c r="W18" s="34">
        <f>'Deuda GNC'!W93</f>
        <v>2.6658147025394552</v>
      </c>
      <c r="X18" s="34">
        <f>'Deuda GNC'!X93</f>
        <v>2.8529680370580159</v>
      </c>
      <c r="Y18" s="34">
        <f>'Deuda GNC'!Y93</f>
        <v>3.1739277667215413</v>
      </c>
      <c r="Z18" s="34">
        <f>'Deuda GNC'!Z93</f>
        <v>2.9191221855158456</v>
      </c>
      <c r="AA18" s="34">
        <f>'Deuda GNC'!AA93</f>
        <v>3.1981769409062291</v>
      </c>
      <c r="AB18" s="34" t="e">
        <f>'Deuda GNC'!AB93</f>
        <v>#DIV/0!</v>
      </c>
      <c r="AC18" s="34" t="e">
        <f>'Deuda GNC'!AC93</f>
        <v>#DIV/0!</v>
      </c>
      <c r="AD18" s="34" t="e">
        <f>'Deuda GNC'!AD93</f>
        <v>#DIV/0!</v>
      </c>
      <c r="AE18" s="34" t="e">
        <f>'Deuda GNC'!AE93</f>
        <v>#DIV/0!</v>
      </c>
      <c r="AF18" s="34" t="e">
        <f>'Deuda GNC'!AF93</f>
        <v>#DIV/0!</v>
      </c>
      <c r="AG18" s="34" t="e">
        <f>'Deuda GNC'!AG93</f>
        <v>#DIV/0!</v>
      </c>
      <c r="AH18" s="34" t="e">
        <f>'Deuda GNC'!AH93</f>
        <v>#DIV/0!</v>
      </c>
      <c r="AI18" s="34" t="e">
        <f>'Deuda GNC'!AI93</f>
        <v>#DIV/0!</v>
      </c>
      <c r="AJ18" s="34" t="e">
        <f>'Deuda GNC'!AJ93</f>
        <v>#DIV/0!</v>
      </c>
      <c r="AK18" s="34" t="e">
        <f>'Deuda GNC'!AK93</f>
        <v>#DIV/0!</v>
      </c>
      <c r="AL18" s="494" t="e">
        <f>'Deuda GNC'!AL93</f>
        <v>#DIV/0!</v>
      </c>
      <c r="AM18" s="34"/>
      <c r="AN18" s="34"/>
      <c r="AO18" s="34"/>
      <c r="AP18" s="34"/>
      <c r="AQ18" s="34"/>
      <c r="AR18" s="34"/>
      <c r="AS18" s="34"/>
      <c r="AT18" s="34"/>
      <c r="AU18" s="34"/>
      <c r="AV18" s="34"/>
      <c r="AW18" s="34"/>
    </row>
    <row r="19" spans="1:49" ht="15" customHeight="1">
      <c r="A19" s="530" t="s">
        <v>168</v>
      </c>
      <c r="B19" s="531">
        <f t="shared" ref="B19:Y19" si="2">SUM(B16:B18)</f>
        <v>12.970745297854263</v>
      </c>
      <c r="C19" s="531">
        <f t="shared" si="2"/>
        <v>8.4899246451092161</v>
      </c>
      <c r="D19" s="531">
        <f t="shared" si="2"/>
        <v>10.203684657271438</v>
      </c>
      <c r="E19" s="531">
        <f t="shared" si="2"/>
        <v>10.075613597860475</v>
      </c>
      <c r="F19" s="531">
        <f t="shared" si="2"/>
        <v>9.4129821523801844</v>
      </c>
      <c r="G19" s="531">
        <f t="shared" si="2"/>
        <v>8.5737003083815857</v>
      </c>
      <c r="H19" s="531">
        <f t="shared" si="2"/>
        <v>9.0053156190475896</v>
      </c>
      <c r="I19" s="531">
        <f t="shared" si="2"/>
        <v>8.5537079387627024</v>
      </c>
      <c r="J19" s="531">
        <f t="shared" si="2"/>
        <v>7.2846403633514107</v>
      </c>
      <c r="K19" s="531">
        <f t="shared" si="2"/>
        <v>6.0466703637904189</v>
      </c>
      <c r="L19" s="531">
        <f t="shared" si="2"/>
        <v>7.0662969972002827</v>
      </c>
      <c r="M19" s="531">
        <f t="shared" si="2"/>
        <v>6.7506403777066097</v>
      </c>
      <c r="N19" s="531">
        <f t="shared" si="2"/>
        <v>5.1911472404382142</v>
      </c>
      <c r="O19" s="531">
        <f t="shared" si="2"/>
        <v>4.7939246283553594</v>
      </c>
      <c r="P19" s="531">
        <f t="shared" si="2"/>
        <v>5.0841397007910514</v>
      </c>
      <c r="Q19" s="531">
        <f t="shared" si="2"/>
        <v>5.0900924350098951</v>
      </c>
      <c r="R19" s="531">
        <f t="shared" si="2"/>
        <v>5.8286752643061126</v>
      </c>
      <c r="S19" s="531">
        <f t="shared" si="2"/>
        <v>5.4022370634911301</v>
      </c>
      <c r="T19" s="531">
        <f t="shared" si="2"/>
        <v>5.7407070325597331</v>
      </c>
      <c r="U19" s="531">
        <f t="shared" si="2"/>
        <v>3.7711500861900338</v>
      </c>
      <c r="V19" s="531">
        <f t="shared" si="2"/>
        <v>5.172819661991241</v>
      </c>
      <c r="W19" s="531">
        <f t="shared" si="2"/>
        <v>9.1114722396434225</v>
      </c>
      <c r="X19" s="531">
        <f t="shared" si="2"/>
        <v>8.8904429207589537</v>
      </c>
      <c r="Y19" s="531">
        <f t="shared" si="2"/>
        <v>5.6945323545067357</v>
      </c>
      <c r="Z19" s="531">
        <f>SUM(Z16:Z18)</f>
        <v>4.6014399363769627</v>
      </c>
      <c r="AA19" s="531">
        <f t="shared" ref="AA19:AL19" si="3">SUM(AA16:AA18)</f>
        <v>3.6553224697512201</v>
      </c>
      <c r="AB19" s="531" t="e">
        <f t="shared" si="3"/>
        <v>#DIV/0!</v>
      </c>
      <c r="AC19" s="531" t="e">
        <f t="shared" si="3"/>
        <v>#DIV/0!</v>
      </c>
      <c r="AD19" s="531" t="e">
        <f t="shared" si="3"/>
        <v>#DIV/0!</v>
      </c>
      <c r="AE19" s="531" t="e">
        <f t="shared" si="3"/>
        <v>#DIV/0!</v>
      </c>
      <c r="AF19" s="531" t="e">
        <f t="shared" si="3"/>
        <v>#DIV/0!</v>
      </c>
      <c r="AG19" s="531" t="e">
        <f t="shared" si="3"/>
        <v>#DIV/0!</v>
      </c>
      <c r="AH19" s="531" t="e">
        <f t="shared" si="3"/>
        <v>#DIV/0!</v>
      </c>
      <c r="AI19" s="531" t="e">
        <f t="shared" si="3"/>
        <v>#DIV/0!</v>
      </c>
      <c r="AJ19" s="531" t="e">
        <f t="shared" si="3"/>
        <v>#DIV/0!</v>
      </c>
      <c r="AK19" s="531" t="e">
        <f t="shared" si="3"/>
        <v>#DIV/0!</v>
      </c>
      <c r="AL19" s="532" t="e">
        <f t="shared" si="3"/>
        <v>#DIV/0!</v>
      </c>
    </row>
    <row r="20" spans="1:49" s="49" customFormat="1" ht="15" customHeight="1">
      <c r="B20" s="57"/>
      <c r="C20" s="57"/>
      <c r="D20" s="57"/>
      <c r="E20" s="57"/>
      <c r="F20" s="57"/>
      <c r="G20" s="57"/>
      <c r="H20" s="57"/>
      <c r="I20" s="57"/>
      <c r="J20" s="57"/>
      <c r="K20" s="57"/>
      <c r="L20" s="57"/>
      <c r="M20" s="57"/>
      <c r="N20" s="57"/>
      <c r="O20" s="57"/>
      <c r="P20" s="57"/>
    </row>
    <row r="21" spans="1:49" s="49" customFormat="1" ht="15" customHeight="1">
      <c r="A21" s="49" t="s">
        <v>10</v>
      </c>
      <c r="B21" s="57"/>
      <c r="C21" s="57"/>
      <c r="D21" s="57"/>
      <c r="E21" s="57"/>
      <c r="F21" s="57"/>
      <c r="G21" s="57"/>
      <c r="H21" s="57"/>
      <c r="I21" s="57"/>
      <c r="J21" s="57"/>
      <c r="K21" s="57"/>
      <c r="L21" s="57"/>
      <c r="M21" s="57"/>
      <c r="N21" s="57"/>
      <c r="O21" s="57"/>
      <c r="P21" s="57"/>
      <c r="Y21" s="49">
        <v>55</v>
      </c>
      <c r="Z21" s="49">
        <v>55</v>
      </c>
      <c r="AA21" s="49">
        <v>55</v>
      </c>
      <c r="AB21" s="49">
        <v>55</v>
      </c>
      <c r="AC21" s="49">
        <v>55</v>
      </c>
      <c r="AD21" s="49">
        <v>55</v>
      </c>
      <c r="AE21" s="49">
        <v>55</v>
      </c>
      <c r="AF21" s="49">
        <v>55</v>
      </c>
      <c r="AG21" s="49">
        <v>55</v>
      </c>
      <c r="AH21" s="49">
        <v>55</v>
      </c>
      <c r="AI21" s="49">
        <v>55</v>
      </c>
      <c r="AJ21" s="49">
        <v>55</v>
      </c>
      <c r="AK21" s="49">
        <v>55</v>
      </c>
      <c r="AL21" s="49">
        <v>55</v>
      </c>
    </row>
    <row r="22" spans="1:49" s="49" customFormat="1" ht="15" customHeight="1">
      <c r="A22" s="49" t="s">
        <v>11</v>
      </c>
      <c r="B22" s="57"/>
      <c r="C22" s="57"/>
      <c r="D22" s="57"/>
      <c r="E22" s="57"/>
      <c r="F22" s="57"/>
      <c r="G22" s="57"/>
      <c r="H22" s="57"/>
      <c r="I22" s="57"/>
      <c r="J22" s="57"/>
      <c r="K22" s="57"/>
      <c r="L22" s="57"/>
      <c r="M22" s="57"/>
      <c r="N22" s="57"/>
      <c r="O22" s="57"/>
      <c r="P22" s="57"/>
      <c r="Y22" s="49">
        <v>71</v>
      </c>
      <c r="Z22" s="49">
        <v>71</v>
      </c>
      <c r="AA22" s="49">
        <v>71</v>
      </c>
      <c r="AB22" s="49">
        <v>71</v>
      </c>
      <c r="AC22" s="49">
        <v>71</v>
      </c>
      <c r="AD22" s="49">
        <v>71</v>
      </c>
      <c r="AE22" s="49">
        <v>71</v>
      </c>
      <c r="AF22" s="49">
        <v>71</v>
      </c>
      <c r="AG22" s="49">
        <v>71</v>
      </c>
      <c r="AH22" s="49">
        <v>71</v>
      </c>
      <c r="AI22" s="49">
        <v>71</v>
      </c>
      <c r="AJ22" s="49">
        <v>71</v>
      </c>
      <c r="AK22" s="49">
        <v>71</v>
      </c>
      <c r="AL22" s="49">
        <v>71</v>
      </c>
    </row>
    <row r="23" spans="1:49">
      <c r="A23" s="175"/>
      <c r="K23" s="175"/>
    </row>
    <row r="24" spans="1:49" s="49" customFormat="1"/>
    <row r="45" spans="1:49" s="49" customFormat="1"/>
    <row r="46" spans="1:49" s="49" customFormat="1" ht="17" customHeight="1">
      <c r="A46" s="2"/>
      <c r="B46" s="2"/>
      <c r="C46" s="2"/>
      <c r="D46" s="2"/>
      <c r="E46" s="2"/>
      <c r="F46" s="2"/>
      <c r="G46" s="2"/>
      <c r="H46" s="2"/>
      <c r="I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row>
    <row r="48" spans="1:49" s="49" customFormat="1" ht="15" customHeight="1">
      <c r="A48" s="2"/>
      <c r="B48" s="34"/>
      <c r="C48" s="34"/>
      <c r="D48" s="34"/>
      <c r="E48" s="34"/>
      <c r="F48" s="34"/>
      <c r="G48" s="34"/>
      <c r="H48" s="34"/>
      <c r="I48" s="34"/>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49" customFormat="1"/>
  </sheetData>
  <mergeCells count="1">
    <mergeCell ref="AA4:AL4"/>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C2C8D-23FA-2F42-9351-A0A8BF625660}">
  <sheetPr>
    <tabColor theme="5"/>
  </sheetPr>
  <dimension ref="A1:AF44"/>
  <sheetViews>
    <sheetView zoomScaleNormal="90" workbookViewId="0">
      <selection activeCell="A22" sqref="A22"/>
    </sheetView>
  </sheetViews>
  <sheetFormatPr baseColWidth="10" defaultColWidth="10.83203125" defaultRowHeight="15"/>
  <cols>
    <col min="1" max="1" width="31" style="2" customWidth="1"/>
    <col min="2" max="15" width="7.6640625" style="2" customWidth="1"/>
    <col min="16" max="18" width="10.83203125" style="2"/>
    <col min="19" max="19" width="18" style="2" customWidth="1"/>
    <col min="20" max="16384" width="10.83203125" style="2"/>
  </cols>
  <sheetData>
    <row r="1" spans="1:16" ht="21">
      <c r="A1" s="1" t="s">
        <v>0</v>
      </c>
    </row>
    <row r="3" spans="1:16" ht="67" customHeight="1">
      <c r="A3" s="779" t="s">
        <v>2</v>
      </c>
      <c r="B3" s="779"/>
      <c r="C3" s="779"/>
      <c r="D3" s="779"/>
      <c r="E3" s="779"/>
      <c r="F3" s="779"/>
      <c r="G3" s="779"/>
      <c r="H3" s="779"/>
      <c r="I3" s="779"/>
      <c r="J3" s="779"/>
      <c r="K3" s="779"/>
      <c r="L3" s="779"/>
      <c r="M3" s="779"/>
      <c r="N3" s="779"/>
    </row>
    <row r="4" spans="1:16" ht="38" customHeight="1">
      <c r="A4" s="811" t="s">
        <v>3</v>
      </c>
      <c r="B4" s="811"/>
      <c r="C4" s="811"/>
      <c r="D4" s="811"/>
      <c r="E4" s="811"/>
      <c r="F4" s="811"/>
      <c r="G4" s="811"/>
      <c r="H4" s="811"/>
      <c r="I4" s="811"/>
      <c r="J4" s="811"/>
      <c r="K4" s="811"/>
      <c r="L4" s="811"/>
      <c r="M4" s="811"/>
      <c r="N4" s="811"/>
    </row>
    <row r="5" spans="1:16" ht="85" customHeight="1">
      <c r="A5" s="815" t="s">
        <v>4</v>
      </c>
      <c r="B5" s="815"/>
      <c r="C5" s="815"/>
      <c r="D5" s="815"/>
      <c r="E5" s="815"/>
      <c r="F5" s="815"/>
      <c r="G5" s="815"/>
      <c r="H5" s="815"/>
      <c r="I5" s="815"/>
      <c r="J5" s="815"/>
      <c r="K5" s="815"/>
      <c r="L5" s="815"/>
      <c r="M5" s="815"/>
      <c r="N5" s="815"/>
      <c r="P5" s="3"/>
    </row>
    <row r="6" spans="1:16" ht="66" customHeight="1">
      <c r="A6" s="816" t="s">
        <v>5</v>
      </c>
      <c r="B6" s="816"/>
      <c r="C6" s="816"/>
      <c r="D6" s="816"/>
      <c r="E6" s="816"/>
      <c r="F6" s="816"/>
      <c r="G6" s="816"/>
      <c r="H6" s="816"/>
      <c r="I6" s="816"/>
      <c r="J6" s="816"/>
      <c r="K6" s="816"/>
      <c r="L6" s="816"/>
      <c r="M6" s="816"/>
      <c r="N6" s="816"/>
    </row>
    <row r="7" spans="1:16" ht="84" customHeight="1">
      <c r="A7" s="817" t="s">
        <v>349</v>
      </c>
      <c r="B7" s="817"/>
      <c r="C7" s="817"/>
      <c r="D7" s="817"/>
      <c r="E7" s="817"/>
      <c r="F7" s="817"/>
      <c r="G7" s="817"/>
      <c r="H7" s="817"/>
      <c r="I7" s="817"/>
      <c r="J7" s="817"/>
      <c r="K7" s="817"/>
      <c r="L7" s="817"/>
      <c r="M7" s="817"/>
      <c r="N7" s="817"/>
    </row>
    <row r="9" spans="1:16">
      <c r="A9" s="4" t="s">
        <v>6</v>
      </c>
    </row>
    <row r="10" spans="1:16">
      <c r="A10" s="5" t="s">
        <v>7</v>
      </c>
    </row>
    <row r="11" spans="1:16" ht="16">
      <c r="A11" s="6" t="s">
        <v>8</v>
      </c>
      <c r="B11" s="7">
        <v>2022</v>
      </c>
      <c r="C11" s="8">
        <v>2023</v>
      </c>
      <c r="D11" s="8">
        <v>2024</v>
      </c>
      <c r="E11" s="8">
        <v>2025</v>
      </c>
      <c r="F11" s="8">
        <v>2026</v>
      </c>
      <c r="G11" s="8">
        <v>2027</v>
      </c>
      <c r="H11" s="8">
        <v>2028</v>
      </c>
      <c r="I11" s="8">
        <v>2029</v>
      </c>
      <c r="J11" s="8">
        <v>2030</v>
      </c>
      <c r="K11" s="8">
        <v>2031</v>
      </c>
      <c r="L11" s="8">
        <v>2032</v>
      </c>
      <c r="M11" s="8">
        <v>2033</v>
      </c>
      <c r="N11" s="8">
        <v>2034</v>
      </c>
      <c r="O11" s="9">
        <v>2035</v>
      </c>
    </row>
    <row r="12" spans="1:16" ht="16">
      <c r="A12" s="15" t="s">
        <v>346</v>
      </c>
      <c r="B12" s="16">
        <f>'Deuda GNC'!Y22</f>
        <v>847436.06570238201</v>
      </c>
      <c r="C12" s="17">
        <f>'Deuda GNC'!Z22</f>
        <v>891882.28923452611</v>
      </c>
      <c r="D12" s="17" t="e">
        <f>'Deuda GNC'!AA22</f>
        <v>#DIV/0!</v>
      </c>
      <c r="E12" s="17" t="e">
        <f>'Deuda GNC'!AB22</f>
        <v>#DIV/0!</v>
      </c>
      <c r="F12" s="17" t="e">
        <f>'Deuda GNC'!AC22</f>
        <v>#DIV/0!</v>
      </c>
      <c r="G12" s="17" t="e">
        <f>'Deuda GNC'!AD22</f>
        <v>#DIV/0!</v>
      </c>
      <c r="H12" s="17" t="e">
        <f>'Deuda GNC'!AE22</f>
        <v>#DIV/0!</v>
      </c>
      <c r="I12" s="17" t="e">
        <f>'Deuda GNC'!AF22</f>
        <v>#DIV/0!</v>
      </c>
      <c r="J12" s="17" t="e">
        <f>'Deuda GNC'!AG22</f>
        <v>#DIV/0!</v>
      </c>
      <c r="K12" s="17" t="e">
        <f>'Deuda GNC'!AH22</f>
        <v>#DIV/0!</v>
      </c>
      <c r="L12" s="17" t="e">
        <f>'Deuda GNC'!AI22</f>
        <v>#DIV/0!</v>
      </c>
      <c r="M12" s="17" t="e">
        <f>'Deuda GNC'!AJ22</f>
        <v>#DIV/0!</v>
      </c>
      <c r="N12" s="17" t="e">
        <f>'Deuda GNC'!AK22</f>
        <v>#DIV/0!</v>
      </c>
      <c r="O12" s="18" t="e">
        <f>'Deuda GNC'!AL22</f>
        <v>#DIV/0!</v>
      </c>
    </row>
    <row r="13" spans="1:16" ht="32">
      <c r="A13" s="19" t="s">
        <v>347</v>
      </c>
      <c r="B13" s="20">
        <f>'Gráficos deuda'!Y10</f>
        <v>57.943457330808265</v>
      </c>
      <c r="C13" s="21">
        <f>'Gráficos deuda'!Z10</f>
        <v>56.718977359962643</v>
      </c>
      <c r="D13" s="21" t="e">
        <f>'Gráficos deuda'!AA10</f>
        <v>#DIV/0!</v>
      </c>
      <c r="E13" s="21" t="e">
        <f>'Gráficos deuda'!AB10</f>
        <v>#DIV/0!</v>
      </c>
      <c r="F13" s="21" t="e">
        <f>'Gráficos deuda'!AC10</f>
        <v>#DIV/0!</v>
      </c>
      <c r="G13" s="21" t="e">
        <f>'Gráficos deuda'!AD10</f>
        <v>#DIV/0!</v>
      </c>
      <c r="H13" s="21" t="e">
        <f>'Gráficos deuda'!AE10</f>
        <v>#DIV/0!</v>
      </c>
      <c r="I13" s="21" t="e">
        <f>'Gráficos deuda'!AF10</f>
        <v>#DIV/0!</v>
      </c>
      <c r="J13" s="21" t="e">
        <f>'Gráficos deuda'!AG10</f>
        <v>#DIV/0!</v>
      </c>
      <c r="K13" s="21" t="e">
        <f>'Gráficos deuda'!AH10</f>
        <v>#DIV/0!</v>
      </c>
      <c r="L13" s="21" t="e">
        <f>'Gráficos deuda'!AI10</f>
        <v>#DIV/0!</v>
      </c>
      <c r="M13" s="21" t="e">
        <f>'Gráficos deuda'!AJ10</f>
        <v>#DIV/0!</v>
      </c>
      <c r="N13" s="21" t="e">
        <f>'Gráficos deuda'!AK10</f>
        <v>#DIV/0!</v>
      </c>
      <c r="O13" s="22" t="e">
        <f>'Gráficos deuda'!AL10</f>
        <v>#DIV/0!</v>
      </c>
    </row>
    <row r="14" spans="1:16" ht="16">
      <c r="A14" s="23" t="s">
        <v>9</v>
      </c>
      <c r="B14" s="24">
        <f>'Deuda GNC'!Y126</f>
        <v>8.8193860609369246</v>
      </c>
      <c r="C14" s="25">
        <f>'Deuda GNC'!Z126</f>
        <v>7.2533742893429816</v>
      </c>
      <c r="D14" s="25">
        <f>'Deuda GNC'!AA126</f>
        <v>7.0002511265903813</v>
      </c>
      <c r="E14" s="25" t="e">
        <f>'Deuda GNC'!AB126</f>
        <v>#DIV/0!</v>
      </c>
      <c r="F14" s="25" t="e">
        <f>'Deuda GNC'!AC126</f>
        <v>#DIV/0!</v>
      </c>
      <c r="G14" s="25" t="e">
        <f>'Deuda GNC'!AD126</f>
        <v>#DIV/0!</v>
      </c>
      <c r="H14" s="25" t="e">
        <f>'Deuda GNC'!AE126</f>
        <v>#DIV/0!</v>
      </c>
      <c r="I14" s="25" t="e">
        <f>'Deuda GNC'!AF126</f>
        <v>#DIV/0!</v>
      </c>
      <c r="J14" s="25" t="e">
        <f>'Deuda GNC'!AG126</f>
        <v>#DIV/0!</v>
      </c>
      <c r="K14" s="25" t="e">
        <f>'Deuda GNC'!AH126</f>
        <v>#DIV/0!</v>
      </c>
      <c r="L14" s="25" t="e">
        <f>'Deuda GNC'!AI126</f>
        <v>#DIV/0!</v>
      </c>
      <c r="M14" s="25" t="e">
        <f>'Deuda GNC'!AJ126</f>
        <v>#DIV/0!</v>
      </c>
      <c r="N14" s="25" t="e">
        <f>'Deuda GNC'!AK126</f>
        <v>#DIV/0!</v>
      </c>
      <c r="O14" s="26" t="e">
        <f>'Deuda GNC'!AL126</f>
        <v>#DIV/0!</v>
      </c>
    </row>
    <row r="15" spans="1:16" ht="16">
      <c r="A15" s="10" t="s">
        <v>10</v>
      </c>
      <c r="B15" s="27">
        <v>55</v>
      </c>
      <c r="C15" s="28">
        <v>55</v>
      </c>
      <c r="D15" s="28">
        <v>55</v>
      </c>
      <c r="E15" s="28">
        <v>55</v>
      </c>
      <c r="F15" s="28">
        <v>55</v>
      </c>
      <c r="G15" s="28">
        <v>55</v>
      </c>
      <c r="H15" s="28">
        <v>55</v>
      </c>
      <c r="I15" s="28">
        <v>55</v>
      </c>
      <c r="J15" s="28">
        <v>55</v>
      </c>
      <c r="K15" s="28">
        <v>55</v>
      </c>
      <c r="L15" s="28">
        <v>55</v>
      </c>
      <c r="M15" s="28">
        <v>55</v>
      </c>
      <c r="N15" s="28">
        <v>55</v>
      </c>
      <c r="O15" s="29">
        <v>55</v>
      </c>
    </row>
    <row r="16" spans="1:16" ht="16">
      <c r="A16" s="11" t="s">
        <v>11</v>
      </c>
      <c r="B16" s="12">
        <v>71</v>
      </c>
      <c r="C16" s="13">
        <v>71</v>
      </c>
      <c r="D16" s="13">
        <v>71</v>
      </c>
      <c r="E16" s="13">
        <v>71</v>
      </c>
      <c r="F16" s="13">
        <v>71</v>
      </c>
      <c r="G16" s="13">
        <v>71</v>
      </c>
      <c r="H16" s="13">
        <v>71</v>
      </c>
      <c r="I16" s="13">
        <v>71</v>
      </c>
      <c r="J16" s="13">
        <v>71</v>
      </c>
      <c r="K16" s="13">
        <v>71</v>
      </c>
      <c r="L16" s="13">
        <v>71</v>
      </c>
      <c r="M16" s="13">
        <v>71</v>
      </c>
      <c r="N16" s="13">
        <v>71</v>
      </c>
      <c r="O16" s="14">
        <v>71</v>
      </c>
    </row>
    <row r="18" spans="1:32">
      <c r="A18" s="61" t="s">
        <v>0</v>
      </c>
      <c r="B18" s="49"/>
      <c r="C18" s="49"/>
      <c r="D18" s="49"/>
      <c r="E18" s="49"/>
      <c r="F18" s="49"/>
      <c r="G18" s="49"/>
      <c r="H18" s="49"/>
      <c r="I18" s="49"/>
      <c r="J18" s="49"/>
      <c r="K18" s="49"/>
      <c r="L18" s="49"/>
      <c r="M18" s="49"/>
      <c r="N18" s="49"/>
      <c r="O18" s="49"/>
    </row>
    <row r="19" spans="1:32">
      <c r="A19" s="5" t="s">
        <v>7</v>
      </c>
    </row>
    <row r="20" spans="1:32" ht="16">
      <c r="A20" s="6" t="s">
        <v>8</v>
      </c>
      <c r="B20" s="7">
        <v>2022</v>
      </c>
      <c r="C20" s="8">
        <v>2023</v>
      </c>
      <c r="D20" s="8">
        <v>2024</v>
      </c>
      <c r="E20" s="8">
        <v>2025</v>
      </c>
      <c r="F20" s="8">
        <v>2026</v>
      </c>
      <c r="G20" s="8">
        <v>2027</v>
      </c>
      <c r="H20" s="8">
        <v>2028</v>
      </c>
      <c r="I20" s="8">
        <v>2029</v>
      </c>
      <c r="J20" s="8">
        <v>2030</v>
      </c>
      <c r="K20" s="8">
        <v>2031</v>
      </c>
      <c r="L20" s="8">
        <v>2032</v>
      </c>
      <c r="M20" s="8">
        <v>2033</v>
      </c>
      <c r="N20" s="8">
        <v>2034</v>
      </c>
      <c r="O20" s="9">
        <v>2035</v>
      </c>
    </row>
    <row r="21" spans="1:32">
      <c r="A21" s="30" t="s">
        <v>135</v>
      </c>
      <c r="B21" s="42">
        <f>'Deuda GNC'!Y119</f>
        <v>-0.98560702258717359</v>
      </c>
      <c r="C21" s="43">
        <f>'Deuda GNC'!Z119</f>
        <v>0</v>
      </c>
      <c r="D21" s="43">
        <f>'Deuda GNC'!AA119</f>
        <v>0</v>
      </c>
      <c r="E21" s="43">
        <f>'Deuda GNC'!AB119</f>
        <v>0</v>
      </c>
      <c r="F21" s="43">
        <f>'Deuda GNC'!AC119</f>
        <v>0</v>
      </c>
      <c r="G21" s="43">
        <f>'Deuda GNC'!AD119</f>
        <v>0</v>
      </c>
      <c r="H21" s="43">
        <f>'Deuda GNC'!AE119</f>
        <v>0</v>
      </c>
      <c r="I21" s="43">
        <f>'Deuda GNC'!AF119</f>
        <v>0</v>
      </c>
      <c r="J21" s="43">
        <f>'Deuda GNC'!AG119</f>
        <v>0</v>
      </c>
      <c r="K21" s="43">
        <f>'Deuda GNC'!AH119</f>
        <v>0</v>
      </c>
      <c r="L21" s="43">
        <f>'Deuda GNC'!AI119</f>
        <v>0</v>
      </c>
      <c r="M21" s="43">
        <f>'Deuda GNC'!AJ119</f>
        <v>0</v>
      </c>
      <c r="N21" s="43">
        <f>'Deuda GNC'!AK119</f>
        <v>0</v>
      </c>
      <c r="O21" s="44">
        <f>'Deuda GNC'!AL119</f>
        <v>0</v>
      </c>
    </row>
    <row r="22" spans="1:32">
      <c r="A22" s="32" t="s">
        <v>12</v>
      </c>
      <c r="B22" s="561"/>
      <c r="C22" s="562"/>
      <c r="D22" s="563"/>
      <c r="E22" s="563"/>
      <c r="F22" s="563"/>
      <c r="G22" s="563"/>
      <c r="H22" s="563"/>
      <c r="I22" s="563"/>
      <c r="J22" s="563"/>
      <c r="K22" s="563"/>
      <c r="L22" s="563"/>
      <c r="M22" s="563"/>
      <c r="N22" s="563"/>
      <c r="O22" s="564"/>
    </row>
    <row r="23" spans="1:32">
      <c r="A23" s="32" t="s">
        <v>13</v>
      </c>
      <c r="B23" s="561"/>
      <c r="C23" s="562"/>
      <c r="D23" s="562"/>
      <c r="E23" s="562"/>
      <c r="F23" s="562"/>
      <c r="G23" s="562"/>
      <c r="H23" s="562"/>
      <c r="I23" s="562"/>
      <c r="J23" s="562"/>
      <c r="K23" s="562"/>
      <c r="L23" s="562"/>
      <c r="M23" s="562"/>
      <c r="N23" s="562"/>
      <c r="O23" s="565"/>
    </row>
    <row r="24" spans="1:32">
      <c r="A24" s="32" t="s">
        <v>14</v>
      </c>
      <c r="B24" s="561"/>
      <c r="C24" s="562"/>
      <c r="D24" s="562"/>
      <c r="E24" s="562"/>
      <c r="F24" s="562"/>
      <c r="G24" s="562"/>
      <c r="H24" s="562"/>
      <c r="I24" s="562"/>
      <c r="J24" s="562"/>
      <c r="K24" s="562"/>
      <c r="L24" s="562"/>
      <c r="M24" s="562"/>
      <c r="N24" s="562"/>
      <c r="O24" s="565"/>
    </row>
    <row r="25" spans="1:32">
      <c r="A25" s="33" t="s">
        <v>15</v>
      </c>
      <c r="B25" s="566"/>
      <c r="C25" s="567"/>
      <c r="D25" s="567"/>
      <c r="E25" s="567"/>
      <c r="F25" s="567"/>
      <c r="G25" s="567"/>
      <c r="H25" s="567"/>
      <c r="I25" s="567"/>
      <c r="J25" s="567"/>
      <c r="K25" s="567"/>
      <c r="L25" s="567"/>
      <c r="M25" s="567"/>
      <c r="N25" s="567"/>
      <c r="O25" s="568"/>
    </row>
    <row r="26" spans="1:32" ht="16">
      <c r="A26" s="35" t="s">
        <v>23</v>
      </c>
      <c r="B26" s="62">
        <f>B21-B22-B23-B24-B25</f>
        <v>-0.98560702258717359</v>
      </c>
      <c r="C26" s="63">
        <f t="shared" ref="C26:O26" si="0">C21-C22-C23-C24-C25</f>
        <v>0</v>
      </c>
      <c r="D26" s="63">
        <f t="shared" si="0"/>
        <v>0</v>
      </c>
      <c r="E26" s="63">
        <f t="shared" si="0"/>
        <v>0</v>
      </c>
      <c r="F26" s="63">
        <f t="shared" si="0"/>
        <v>0</v>
      </c>
      <c r="G26" s="63">
        <f t="shared" si="0"/>
        <v>0</v>
      </c>
      <c r="H26" s="63">
        <f t="shared" si="0"/>
        <v>0</v>
      </c>
      <c r="I26" s="63">
        <f t="shared" si="0"/>
        <v>0</v>
      </c>
      <c r="J26" s="63">
        <f t="shared" si="0"/>
        <v>0</v>
      </c>
      <c r="K26" s="63">
        <f t="shared" si="0"/>
        <v>0</v>
      </c>
      <c r="L26" s="63">
        <f t="shared" si="0"/>
        <v>0</v>
      </c>
      <c r="M26" s="63">
        <f t="shared" si="0"/>
        <v>0</v>
      </c>
      <c r="N26" s="63">
        <f t="shared" si="0"/>
        <v>0</v>
      </c>
      <c r="O26" s="64">
        <f t="shared" si="0"/>
        <v>0</v>
      </c>
    </row>
    <row r="27" spans="1:32">
      <c r="A27" s="36" t="s">
        <v>16</v>
      </c>
      <c r="B27" s="65">
        <v>-4.700000000000002</v>
      </c>
      <c r="C27" s="66">
        <v>-1.4000000000000008</v>
      </c>
      <c r="D27" s="67">
        <v>-0.2</v>
      </c>
      <c r="E27" s="67">
        <v>0.5</v>
      </c>
      <c r="F27" s="68" t="e">
        <f t="shared" ref="F27:O27" si="1">IF(E13&gt;70,1.8,0.2+0.1*(E13-55))</f>
        <v>#DIV/0!</v>
      </c>
      <c r="G27" s="68" t="e">
        <f t="shared" si="1"/>
        <v>#DIV/0!</v>
      </c>
      <c r="H27" s="68" t="e">
        <f t="shared" si="1"/>
        <v>#DIV/0!</v>
      </c>
      <c r="I27" s="68" t="e">
        <f t="shared" si="1"/>
        <v>#DIV/0!</v>
      </c>
      <c r="J27" s="68" t="e">
        <f t="shared" si="1"/>
        <v>#DIV/0!</v>
      </c>
      <c r="K27" s="68" t="e">
        <f t="shared" si="1"/>
        <v>#DIV/0!</v>
      </c>
      <c r="L27" s="68" t="e">
        <f t="shared" si="1"/>
        <v>#DIV/0!</v>
      </c>
      <c r="M27" s="68" t="e">
        <f t="shared" si="1"/>
        <v>#DIV/0!</v>
      </c>
      <c r="N27" s="68" t="e">
        <f t="shared" si="1"/>
        <v>#DIV/0!</v>
      </c>
      <c r="O27" s="69" t="e">
        <f t="shared" si="1"/>
        <v>#DIV/0!</v>
      </c>
    </row>
    <row r="28" spans="1:32">
      <c r="A28" s="38" t="s">
        <v>17</v>
      </c>
      <c r="B28" s="70">
        <f>B26-B27</f>
        <v>3.7143929774128281</v>
      </c>
      <c r="C28" s="71">
        <f t="shared" ref="C28" si="2">C26-C27</f>
        <v>1.4000000000000008</v>
      </c>
      <c r="D28" s="71">
        <f>D26-D27</f>
        <v>0.2</v>
      </c>
      <c r="E28" s="71">
        <f>E26-E27</f>
        <v>-0.5</v>
      </c>
      <c r="F28" s="71" t="e">
        <f t="shared" ref="F28:O28" si="3">F26-F27</f>
        <v>#DIV/0!</v>
      </c>
      <c r="G28" s="71" t="e">
        <f t="shared" si="3"/>
        <v>#DIV/0!</v>
      </c>
      <c r="H28" s="71" t="e">
        <f t="shared" si="3"/>
        <v>#DIV/0!</v>
      </c>
      <c r="I28" s="71" t="e">
        <f t="shared" si="3"/>
        <v>#DIV/0!</v>
      </c>
      <c r="J28" s="71" t="e">
        <f t="shared" si="3"/>
        <v>#DIV/0!</v>
      </c>
      <c r="K28" s="71" t="e">
        <f t="shared" si="3"/>
        <v>#DIV/0!</v>
      </c>
      <c r="L28" s="71" t="e">
        <f t="shared" si="3"/>
        <v>#DIV/0!</v>
      </c>
      <c r="M28" s="71" t="e">
        <f t="shared" si="3"/>
        <v>#DIV/0!</v>
      </c>
      <c r="N28" s="71" t="e">
        <f t="shared" si="3"/>
        <v>#DIV/0!</v>
      </c>
      <c r="O28" s="72" t="e">
        <f t="shared" si="3"/>
        <v>#DIV/0!</v>
      </c>
    </row>
    <row r="30" spans="1:32">
      <c r="A30" s="40" t="s">
        <v>18</v>
      </c>
      <c r="B30" s="73">
        <f>0.2+0.1*('Deuda GNC'!X69-55)</f>
        <v>0.70550945503127394</v>
      </c>
      <c r="C30" s="74">
        <f t="shared" ref="C30:O30" si="4">IF(B13&gt;70,1.8,0.2+0.1*(B13-55))</f>
        <v>0.49434573308082652</v>
      </c>
      <c r="D30" s="74">
        <f t="shared" si="4"/>
        <v>0.37189773599626436</v>
      </c>
      <c r="E30" s="74" t="e">
        <f t="shared" si="4"/>
        <v>#DIV/0!</v>
      </c>
      <c r="F30" s="74" t="e">
        <f t="shared" si="4"/>
        <v>#DIV/0!</v>
      </c>
      <c r="G30" s="74" t="e">
        <f t="shared" si="4"/>
        <v>#DIV/0!</v>
      </c>
      <c r="H30" s="74" t="e">
        <f t="shared" si="4"/>
        <v>#DIV/0!</v>
      </c>
      <c r="I30" s="74" t="e">
        <f t="shared" si="4"/>
        <v>#DIV/0!</v>
      </c>
      <c r="J30" s="74" t="e">
        <f t="shared" si="4"/>
        <v>#DIV/0!</v>
      </c>
      <c r="K30" s="74" t="e">
        <f t="shared" si="4"/>
        <v>#DIV/0!</v>
      </c>
      <c r="L30" s="74" t="e">
        <f t="shared" si="4"/>
        <v>#DIV/0!</v>
      </c>
      <c r="M30" s="74" t="e">
        <f t="shared" si="4"/>
        <v>#DIV/0!</v>
      </c>
      <c r="N30" s="74" t="e">
        <f t="shared" si="4"/>
        <v>#DIV/0!</v>
      </c>
      <c r="O30" s="75" t="e">
        <f t="shared" si="4"/>
        <v>#DIV/0!</v>
      </c>
    </row>
    <row r="31" spans="1:32">
      <c r="A31" s="40" t="s">
        <v>19</v>
      </c>
      <c r="B31" s="45">
        <v>-4.700000000000002</v>
      </c>
      <c r="C31" s="46">
        <v>-1.4000000000000008</v>
      </c>
      <c r="D31" s="47">
        <v>-0.2</v>
      </c>
      <c r="E31" s="48">
        <v>0.5</v>
      </c>
    </row>
    <row r="32" spans="1:32" s="31" customFormat="1">
      <c r="A32" s="49"/>
      <c r="B32" s="2"/>
      <c r="C32" s="2"/>
      <c r="D32" s="2"/>
      <c r="E32" s="2"/>
      <c r="F32" s="2"/>
      <c r="G32" s="2"/>
      <c r="H32" s="2"/>
      <c r="I32" s="2"/>
      <c r="J32" s="2"/>
      <c r="K32" s="2"/>
      <c r="L32" s="2"/>
      <c r="M32" s="2"/>
      <c r="N32" s="2"/>
      <c r="O32" s="2"/>
      <c r="P32" s="50"/>
      <c r="Q32" s="2"/>
      <c r="R32" s="2"/>
      <c r="S32" s="2"/>
      <c r="T32" s="2"/>
      <c r="U32" s="2"/>
      <c r="V32" s="2"/>
      <c r="W32" s="2"/>
      <c r="X32" s="2"/>
      <c r="Y32" s="2"/>
      <c r="Z32" s="2"/>
      <c r="AA32" s="2"/>
      <c r="AB32" s="2"/>
      <c r="AC32" s="2"/>
      <c r="AD32" s="2"/>
      <c r="AE32" s="2"/>
      <c r="AF32" s="2"/>
    </row>
    <row r="33" spans="1:32" s="31" customFormat="1">
      <c r="A33" s="4" t="s">
        <v>24</v>
      </c>
      <c r="B33" s="2"/>
      <c r="C33" s="2"/>
      <c r="D33" s="2"/>
      <c r="E33" s="2"/>
      <c r="F33" s="2"/>
      <c r="G33" s="2"/>
      <c r="H33" s="2"/>
      <c r="I33" s="2"/>
      <c r="J33" s="2"/>
      <c r="K33" s="2"/>
      <c r="L33" s="2"/>
      <c r="M33" s="2"/>
      <c r="N33" s="2"/>
      <c r="O33" s="2"/>
      <c r="P33" s="50"/>
      <c r="Q33" s="2"/>
      <c r="R33" s="2"/>
      <c r="S33" s="2"/>
      <c r="T33" s="2"/>
      <c r="U33" s="2"/>
      <c r="V33" s="2"/>
      <c r="W33" s="2"/>
      <c r="X33" s="2"/>
      <c r="Y33" s="2"/>
      <c r="Z33" s="2"/>
      <c r="AA33" s="2"/>
      <c r="AB33" s="2"/>
      <c r="AC33" s="2"/>
      <c r="AD33" s="2"/>
      <c r="AE33" s="2"/>
      <c r="AF33" s="2"/>
    </row>
    <row r="34" spans="1:32" s="31" customFormat="1" ht="57" customHeight="1">
      <c r="A34" s="814" t="s">
        <v>359</v>
      </c>
      <c r="B34" s="814"/>
      <c r="C34" s="814"/>
      <c r="D34" s="814"/>
      <c r="E34" s="814"/>
      <c r="F34" s="814"/>
      <c r="G34" s="814"/>
      <c r="H34" s="814"/>
      <c r="I34" s="814"/>
      <c r="J34" s="814"/>
      <c r="K34" s="814"/>
      <c r="L34" s="814"/>
      <c r="M34" s="814"/>
      <c r="N34" s="814"/>
      <c r="O34" s="814"/>
      <c r="P34" s="50"/>
      <c r="Q34" s="2"/>
      <c r="R34" s="2"/>
      <c r="S34" s="2"/>
      <c r="T34" s="2"/>
      <c r="U34" s="2"/>
      <c r="V34" s="2"/>
      <c r="W34" s="2"/>
      <c r="X34" s="2"/>
      <c r="Y34" s="2"/>
      <c r="Z34" s="2"/>
      <c r="AA34" s="2"/>
      <c r="AB34" s="2"/>
      <c r="AC34" s="2"/>
      <c r="AD34" s="2"/>
      <c r="AE34" s="2"/>
      <c r="AF34" s="2"/>
    </row>
    <row r="35" spans="1:32" s="31" customFormat="1" ht="16">
      <c r="A35" s="588" t="s">
        <v>20</v>
      </c>
      <c r="B35" s="589">
        <v>2022</v>
      </c>
      <c r="C35" s="589">
        <v>2023</v>
      </c>
      <c r="D35" s="589">
        <v>2024</v>
      </c>
      <c r="E35" s="589">
        <v>2025</v>
      </c>
      <c r="F35" s="589">
        <v>2026</v>
      </c>
      <c r="G35" s="589">
        <v>2027</v>
      </c>
      <c r="H35" s="589">
        <v>2028</v>
      </c>
      <c r="I35" s="589">
        <v>2029</v>
      </c>
      <c r="J35" s="589">
        <v>2030</v>
      </c>
      <c r="K35" s="589">
        <v>2031</v>
      </c>
      <c r="L35" s="589">
        <v>2032</v>
      </c>
      <c r="M35" s="589">
        <v>2033</v>
      </c>
      <c r="N35" s="589">
        <v>2034</v>
      </c>
      <c r="O35" s="590">
        <v>2035</v>
      </c>
      <c r="P35" s="50"/>
      <c r="Q35" s="2"/>
      <c r="R35" s="2"/>
      <c r="S35" s="2"/>
      <c r="T35" s="2"/>
      <c r="U35" s="2"/>
      <c r="V35" s="2"/>
      <c r="W35" s="2"/>
      <c r="X35" s="2"/>
      <c r="Y35" s="2"/>
      <c r="Z35" s="2"/>
      <c r="AA35" s="2"/>
      <c r="AB35" s="2"/>
      <c r="AC35" s="2"/>
      <c r="AD35" s="2"/>
      <c r="AE35" s="2"/>
      <c r="AF35" s="2"/>
    </row>
    <row r="36" spans="1:32" s="31" customFormat="1">
      <c r="A36" s="51" t="s">
        <v>356</v>
      </c>
      <c r="B36" s="55">
        <f>((1+B14/100)/(1+'Deuda GNC'!Y113/100)-1)*100</f>
        <v>-3.8018157169935174</v>
      </c>
      <c r="C36" s="55">
        <f>((1+C14/100)/(1+'Deuda GNC'!Z113/100)-1)*100</f>
        <v>-1.8545257235148327</v>
      </c>
      <c r="D36" s="55">
        <f>((1+D14/100)/(1+'Deuda GNC'!AA113/100)-1)*100</f>
        <v>7.0002511265903733</v>
      </c>
      <c r="E36" s="55" t="e">
        <f>((1+E14/100)/(1+'Deuda GNC'!AB113/100)-1)*100</f>
        <v>#DIV/0!</v>
      </c>
      <c r="F36" s="55" t="e">
        <f>((1+F14/100)/(1+'Deuda GNC'!AC113/100)-1)*100</f>
        <v>#DIV/0!</v>
      </c>
      <c r="G36" s="55" t="e">
        <f>((1+G14/100)/(1+'Deuda GNC'!AD113/100)-1)*100</f>
        <v>#DIV/0!</v>
      </c>
      <c r="H36" s="55" t="e">
        <f>((1+H14/100)/(1+'Deuda GNC'!AE113/100)-1)*100</f>
        <v>#DIV/0!</v>
      </c>
      <c r="I36" s="55" t="e">
        <f>((1+I14/100)/(1+'Deuda GNC'!AF113/100)-1)*100</f>
        <v>#DIV/0!</v>
      </c>
      <c r="J36" s="55" t="e">
        <f>((1+J14/100)/(1+'Deuda GNC'!AG113/100)-1)*100</f>
        <v>#DIV/0!</v>
      </c>
      <c r="K36" s="55" t="e">
        <f>((1+K14/100)/(1+'Deuda GNC'!AH113/100)-1)*100</f>
        <v>#DIV/0!</v>
      </c>
      <c r="L36" s="55" t="e">
        <f>((1+L14/100)/(1+'Deuda GNC'!AI113/100)-1)*100</f>
        <v>#DIV/0!</v>
      </c>
      <c r="M36" s="55" t="e">
        <f>((1+M14/100)/(1+'Deuda GNC'!AJ113/100)-1)*100</f>
        <v>#DIV/0!</v>
      </c>
      <c r="N36" s="55" t="e">
        <f>((1+N14/100)/(1+'Deuda GNC'!AK113/100)-1)*100</f>
        <v>#DIV/0!</v>
      </c>
      <c r="O36" s="56" t="e">
        <f>((1+O14/100)/(1+'Deuda GNC'!AL113/100)-1)*100</f>
        <v>#DIV/0!</v>
      </c>
      <c r="P36" s="50"/>
      <c r="Q36" s="2"/>
      <c r="R36" s="2"/>
      <c r="S36" s="2"/>
      <c r="T36" s="2"/>
      <c r="U36" s="2"/>
      <c r="V36" s="2"/>
      <c r="W36" s="2"/>
      <c r="X36" s="2"/>
      <c r="Y36" s="2"/>
      <c r="Z36" s="2"/>
      <c r="AA36" s="2"/>
      <c r="AB36" s="2"/>
      <c r="AC36" s="2"/>
      <c r="AD36" s="2"/>
      <c r="AE36" s="2"/>
      <c r="AF36" s="2"/>
    </row>
    <row r="37" spans="1:32">
      <c r="A37" s="54" t="s">
        <v>357</v>
      </c>
      <c r="B37" s="55">
        <f>'Deuda GNC'!Y112</f>
        <v>7.2888838865514005</v>
      </c>
      <c r="C37" s="55">
        <f>'Deuda GNC'!Z112</f>
        <v>0.61042650835119172</v>
      </c>
      <c r="D37" s="55">
        <f>'Deuda GNC'!AA112</f>
        <v>0</v>
      </c>
      <c r="E37" s="55">
        <f>'Deuda GNC'!AB112</f>
        <v>0</v>
      </c>
      <c r="F37" s="55">
        <f>'Deuda GNC'!AC112</f>
        <v>0</v>
      </c>
      <c r="G37" s="55">
        <f>'Deuda GNC'!AD112</f>
        <v>0</v>
      </c>
      <c r="H37" s="55">
        <f>'Deuda GNC'!AE112</f>
        <v>0</v>
      </c>
      <c r="I37" s="55">
        <f>'Deuda GNC'!AF112</f>
        <v>0</v>
      </c>
      <c r="J37" s="55">
        <f>'Deuda GNC'!AG112</f>
        <v>0</v>
      </c>
      <c r="K37" s="55">
        <f>'Deuda GNC'!AH112</f>
        <v>0</v>
      </c>
      <c r="L37" s="55">
        <f>'Deuda GNC'!AI112</f>
        <v>0</v>
      </c>
      <c r="M37" s="55">
        <f>'Deuda GNC'!AJ112</f>
        <v>0</v>
      </c>
      <c r="N37" s="55">
        <f>'Deuda GNC'!AK112</f>
        <v>0</v>
      </c>
      <c r="O37" s="56">
        <f>'Deuda GNC'!AL112</f>
        <v>0</v>
      </c>
      <c r="P37" s="50"/>
    </row>
    <row r="38" spans="1:32">
      <c r="A38" s="54" t="s">
        <v>21</v>
      </c>
      <c r="B38" s="55">
        <f t="shared" ref="B38:O38" si="5">B36-B37</f>
        <v>-11.090699603544918</v>
      </c>
      <c r="C38" s="55">
        <f t="shared" si="5"/>
        <v>-2.4649522318660244</v>
      </c>
      <c r="D38" s="55">
        <f t="shared" si="5"/>
        <v>7.0002511265903733</v>
      </c>
      <c r="E38" s="55" t="e">
        <f t="shared" si="5"/>
        <v>#DIV/0!</v>
      </c>
      <c r="F38" s="55" t="e">
        <f t="shared" si="5"/>
        <v>#DIV/0!</v>
      </c>
      <c r="G38" s="55" t="e">
        <f t="shared" si="5"/>
        <v>#DIV/0!</v>
      </c>
      <c r="H38" s="55" t="e">
        <f t="shared" si="5"/>
        <v>#DIV/0!</v>
      </c>
      <c r="I38" s="55" t="e">
        <f t="shared" si="5"/>
        <v>#DIV/0!</v>
      </c>
      <c r="J38" s="55" t="e">
        <f t="shared" si="5"/>
        <v>#DIV/0!</v>
      </c>
      <c r="K38" s="55" t="e">
        <f t="shared" si="5"/>
        <v>#DIV/0!</v>
      </c>
      <c r="L38" s="55" t="e">
        <f t="shared" si="5"/>
        <v>#DIV/0!</v>
      </c>
      <c r="M38" s="55" t="e">
        <f t="shared" si="5"/>
        <v>#DIV/0!</v>
      </c>
      <c r="N38" s="55" t="e">
        <f t="shared" si="5"/>
        <v>#DIV/0!</v>
      </c>
      <c r="O38" s="56" t="e">
        <f t="shared" si="5"/>
        <v>#DIV/0!</v>
      </c>
      <c r="P38" s="50"/>
    </row>
    <row r="39" spans="1:32">
      <c r="A39" s="51" t="s">
        <v>22</v>
      </c>
      <c r="B39" s="55">
        <f t="shared" ref="B39:O39" si="6">((B36/100)-(B37/100))/(1+B37/100)*100</f>
        <v>-10.337230849816988</v>
      </c>
      <c r="C39" s="55">
        <f t="shared" si="6"/>
        <v>-2.4499968019332674</v>
      </c>
      <c r="D39" s="55">
        <f t="shared" si="6"/>
        <v>7.0002511265903733</v>
      </c>
      <c r="E39" s="55" t="e">
        <f t="shared" si="6"/>
        <v>#DIV/0!</v>
      </c>
      <c r="F39" s="55" t="e">
        <f t="shared" si="6"/>
        <v>#DIV/0!</v>
      </c>
      <c r="G39" s="55" t="e">
        <f t="shared" si="6"/>
        <v>#DIV/0!</v>
      </c>
      <c r="H39" s="55" t="e">
        <f t="shared" si="6"/>
        <v>#DIV/0!</v>
      </c>
      <c r="I39" s="55" t="e">
        <f t="shared" si="6"/>
        <v>#DIV/0!</v>
      </c>
      <c r="J39" s="55" t="e">
        <f t="shared" si="6"/>
        <v>#DIV/0!</v>
      </c>
      <c r="K39" s="55" t="e">
        <f t="shared" si="6"/>
        <v>#DIV/0!</v>
      </c>
      <c r="L39" s="55" t="e">
        <f t="shared" si="6"/>
        <v>#DIV/0!</v>
      </c>
      <c r="M39" s="55" t="e">
        <f t="shared" si="6"/>
        <v>#DIV/0!</v>
      </c>
      <c r="N39" s="55" t="e">
        <f t="shared" si="6"/>
        <v>#DIV/0!</v>
      </c>
      <c r="O39" s="56" t="e">
        <f t="shared" si="6"/>
        <v>#DIV/0!</v>
      </c>
      <c r="P39" s="50"/>
    </row>
    <row r="40" spans="1:32">
      <c r="A40" s="54" t="s">
        <v>358</v>
      </c>
      <c r="B40" s="55">
        <v>55</v>
      </c>
      <c r="C40" s="55">
        <v>55</v>
      </c>
      <c r="D40" s="55">
        <v>55</v>
      </c>
      <c r="E40" s="55">
        <v>55</v>
      </c>
      <c r="F40" s="55">
        <v>55</v>
      </c>
      <c r="G40" s="55">
        <v>55</v>
      </c>
      <c r="H40" s="55">
        <v>55</v>
      </c>
      <c r="I40" s="55">
        <v>55</v>
      </c>
      <c r="J40" s="55">
        <v>55</v>
      </c>
      <c r="K40" s="55">
        <v>55</v>
      </c>
      <c r="L40" s="55">
        <v>55</v>
      </c>
      <c r="M40" s="55">
        <v>55</v>
      </c>
      <c r="N40" s="55">
        <v>55</v>
      </c>
      <c r="O40" s="56">
        <v>55</v>
      </c>
      <c r="P40" s="813"/>
      <c r="Q40" s="813"/>
      <c r="R40" s="813"/>
      <c r="S40" s="813"/>
      <c r="T40" s="813"/>
      <c r="U40" s="813"/>
    </row>
    <row r="41" spans="1:32">
      <c r="A41" s="58" t="s">
        <v>348</v>
      </c>
      <c r="B41" s="591">
        <f>(B39/100*B40/100)*100</f>
        <v>-5.6854769673993433</v>
      </c>
      <c r="C41" s="591">
        <f t="shared" ref="C41:O41" si="7">(C39/100*C40/100)*100</f>
        <v>-1.3474982410632972</v>
      </c>
      <c r="D41" s="591">
        <f t="shared" si="7"/>
        <v>3.8501381196247046</v>
      </c>
      <c r="E41" s="591" t="e">
        <f t="shared" si="7"/>
        <v>#DIV/0!</v>
      </c>
      <c r="F41" s="591" t="e">
        <f t="shared" si="7"/>
        <v>#DIV/0!</v>
      </c>
      <c r="G41" s="591" t="e">
        <f t="shared" si="7"/>
        <v>#DIV/0!</v>
      </c>
      <c r="H41" s="591" t="e">
        <f t="shared" si="7"/>
        <v>#DIV/0!</v>
      </c>
      <c r="I41" s="591" t="e">
        <f t="shared" si="7"/>
        <v>#DIV/0!</v>
      </c>
      <c r="J41" s="591" t="e">
        <f t="shared" si="7"/>
        <v>#DIV/0!</v>
      </c>
      <c r="K41" s="591" t="e">
        <f t="shared" si="7"/>
        <v>#DIV/0!</v>
      </c>
      <c r="L41" s="591" t="e">
        <f t="shared" si="7"/>
        <v>#DIV/0!</v>
      </c>
      <c r="M41" s="591" t="e">
        <f t="shared" si="7"/>
        <v>#DIV/0!</v>
      </c>
      <c r="N41" s="591" t="e">
        <f t="shared" si="7"/>
        <v>#DIV/0!</v>
      </c>
      <c r="O41" s="59" t="e">
        <f t="shared" si="7"/>
        <v>#DIV/0!</v>
      </c>
      <c r="P41" s="50"/>
      <c r="Q41" s="76"/>
    </row>
    <row r="42" spans="1:32">
      <c r="A42" s="594" t="s">
        <v>360</v>
      </c>
      <c r="B42" s="592">
        <f t="shared" ref="B42:O42" si="8">B41-B21</f>
        <v>-4.6998699448121695</v>
      </c>
      <c r="C42" s="592">
        <f t="shared" si="8"/>
        <v>-1.3474982410632972</v>
      </c>
      <c r="D42" s="592">
        <f t="shared" si="8"/>
        <v>3.8501381196247046</v>
      </c>
      <c r="E42" s="592" t="e">
        <f t="shared" si="8"/>
        <v>#DIV/0!</v>
      </c>
      <c r="F42" s="592" t="e">
        <f t="shared" si="8"/>
        <v>#DIV/0!</v>
      </c>
      <c r="G42" s="592" t="e">
        <f t="shared" si="8"/>
        <v>#DIV/0!</v>
      </c>
      <c r="H42" s="592" t="e">
        <f t="shared" si="8"/>
        <v>#DIV/0!</v>
      </c>
      <c r="I42" s="592" t="e">
        <f t="shared" si="8"/>
        <v>#DIV/0!</v>
      </c>
      <c r="J42" s="592" t="e">
        <f t="shared" si="8"/>
        <v>#DIV/0!</v>
      </c>
      <c r="K42" s="592" t="e">
        <f t="shared" si="8"/>
        <v>#DIV/0!</v>
      </c>
      <c r="L42" s="592" t="e">
        <f t="shared" si="8"/>
        <v>#DIV/0!</v>
      </c>
      <c r="M42" s="592" t="e">
        <f t="shared" si="8"/>
        <v>#DIV/0!</v>
      </c>
      <c r="N42" s="592" t="e">
        <f t="shared" si="8"/>
        <v>#DIV/0!</v>
      </c>
      <c r="O42" s="593" t="e">
        <f t="shared" si="8"/>
        <v>#DIV/0!</v>
      </c>
      <c r="P42" s="50"/>
    </row>
    <row r="43" spans="1:32" ht="18">
      <c r="A43" s="77"/>
    </row>
    <row r="44" spans="1:32" ht="16">
      <c r="A44" s="78"/>
      <c r="B44" s="78"/>
      <c r="C44" s="78"/>
      <c r="D44" s="78"/>
      <c r="E44" s="78"/>
      <c r="F44" s="78"/>
      <c r="G44" s="78"/>
      <c r="H44" s="78"/>
    </row>
  </sheetData>
  <mergeCells count="7">
    <mergeCell ref="P40:U40"/>
    <mergeCell ref="A34:O34"/>
    <mergeCell ref="A3:N3"/>
    <mergeCell ref="A4:N4"/>
    <mergeCell ref="A5:N5"/>
    <mergeCell ref="A6:N6"/>
    <mergeCell ref="A7:N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PORTADA</vt:lpstr>
      <vt:lpstr>Introducción</vt:lpstr>
      <vt:lpstr>Insumos externos</vt:lpstr>
      <vt:lpstr>Deuda a emitir</vt:lpstr>
      <vt:lpstr>Deuda GNC</vt:lpstr>
      <vt:lpstr>Gráficos deuda</vt:lpstr>
      <vt:lpstr>Cumplimiento de la regla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López</dc:creator>
  <cp:lastModifiedBy>Johanna López</cp:lastModifiedBy>
  <dcterms:created xsi:type="dcterms:W3CDTF">2024-07-09T18:02:08Z</dcterms:created>
  <dcterms:modified xsi:type="dcterms:W3CDTF">2024-07-23T15:33:01Z</dcterms:modified>
</cp:coreProperties>
</file>